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esign Tools - Marketing\CULTEC Residential Drainage Calculator\"/>
    </mc:Choice>
  </mc:AlternateContent>
  <xr:revisionPtr revIDLastSave="0" documentId="13_ncr:1_{848CBD40-40B1-4F5F-AC92-23F70D0C94E6}" xr6:coauthVersionLast="47" xr6:coauthVersionMax="47" xr10:uidLastSave="{00000000-0000-0000-0000-000000000000}"/>
  <workbookProtection workbookAlgorithmName="SHA-512" workbookHashValue="8GqkEOZcu3CjtyYYX3HbgJ156jVozMBCoF5GONezigrsQLP0J5pcivuM9JGFgNpi784jQQ59ZHjpGi9yOEWqjQ==" workbookSaltValue="bCsTPf5OU57JRljLu41CGQ==" workbookSpinCount="100000" lockStructure="1"/>
  <bookViews>
    <workbookView xWindow="-120" yWindow="-120" windowWidth="29040" windowHeight="15840" xr2:uid="{00000000-000D-0000-FFFF-FFFF00000000}"/>
  </bookViews>
  <sheets>
    <sheet name="Residential Drainage Calculator" sheetId="1" r:id="rId1"/>
    <sheet name="Infiltration Data" sheetId="6" state="hidden" r:id="rId2"/>
    <sheet name="Data" sheetId="5" state="hidden" r:id="rId3"/>
    <sheet name="X Sections" sheetId="3" state="hidden" r:id="rId4"/>
  </sheets>
  <externalReferences>
    <externalReference r:id="rId5"/>
  </externalReferences>
  <definedNames>
    <definedName name="ADDSTONEV8">#REF!</definedName>
    <definedName name="AREA_100HD">#REF!</definedName>
    <definedName name="AREA_150HD">#REF!</definedName>
    <definedName name="AREA_150XLHD">#REF!</definedName>
    <definedName name="AREA_180HD">#REF!</definedName>
    <definedName name="AREA_280HD">#REF!</definedName>
    <definedName name="AREA_330XLHD">#REF!</definedName>
    <definedName name="AREA_900HD">#REF!</definedName>
    <definedName name="AREA_V8HD">#REF!</definedName>
    <definedName name="BEDLV8">#REF!</definedName>
    <definedName name="BEDWV8">#REF!</definedName>
    <definedName name="Border_Thickness">'Residential Drainage Calculator'!$E$18</definedName>
    <definedName name="CHHV8">#REF!</definedName>
    <definedName name="CHREQV8">#REF!</definedName>
    <definedName name="Contactor_100HD">#REF!</definedName>
    <definedName name="DesBedWidth">#REF!</definedName>
    <definedName name="DUHV8">#REF!</definedName>
    <definedName name="DUVV8">#REF!</definedName>
    <definedName name="DUWV8">#REF!</definedName>
    <definedName name="Effective_Depth">#REF!</definedName>
    <definedName name="fdgdcg">#REF!</definedName>
    <definedName name="FillPics">INDEX('X Sections'!$B$2:$B$4,MATCH('Residential Drainage Calculator'!#REF!,'X Sections'!$A$2:$A$4,0))</definedName>
    <definedName name="Ft_FeedConnect100">#REF!</definedName>
    <definedName name="Ft_FeedConnect150">#REF!</definedName>
    <definedName name="Ft_FeedConnect150XL">#REF!</definedName>
    <definedName name="Ft_FeedConnect180">#REF!</definedName>
    <definedName name="Ft_FeedConnect280">#REF!</definedName>
    <definedName name="Ft_FeedConnect330XL">#REF!</definedName>
    <definedName name="Ft_FeedConnect900">#REF!</definedName>
    <definedName name="Ft_FeedConnectV8">#REF!</definedName>
    <definedName name="FTCHAMBER_100HD">#REF!</definedName>
    <definedName name="FTCHAMBER_150HD">#REF!</definedName>
    <definedName name="FTCHAMBER_150XLHD">#REF!</definedName>
    <definedName name="FTCHAMBER_180HD">#REF!</definedName>
    <definedName name="FTCHAMBER_280HD">#REF!</definedName>
    <definedName name="FTCHAMBER_330XLHD">#REF!</definedName>
    <definedName name="FTCHAMBER_900HD">#REF!</definedName>
    <definedName name="FTCHAMBER_V8HD">#REF!</definedName>
    <definedName name="inputSF">'Residential Drainage Calculator'!$C$16</definedName>
    <definedName name="INSTCHLV8">[1]Data!#REF!</definedName>
    <definedName name="LULADJV8">#REF!</definedName>
    <definedName name="Model">#REF!</definedName>
    <definedName name="ModelImage">INDIRECT(#REF!)</definedName>
    <definedName name="NO.LONGV8">#REF!</definedName>
    <definedName name="No_Stone" localSheetId="3">'X Sections'!$B$2</definedName>
    <definedName name="No_Stone">#REF!</definedName>
    <definedName name="Pavement">#REF!</definedName>
    <definedName name="PlanPic">INDIRECT(#REF!)</definedName>
    <definedName name="_xlnm.Print_Area" localSheetId="0">'Residential Drainage Calculator'!$A$1:$L$102</definedName>
    <definedName name="rainfall">'Residential Drainage Calculator'!$C$18</definedName>
    <definedName name="rainfallft">'Residential Drainage Calculator'!#REF!</definedName>
    <definedName name="Recharger_150XLHD">#REF!</definedName>
    <definedName name="Recharger_280HD">#REF!</definedName>
    <definedName name="Recharger_330XLHD">#REF!</definedName>
    <definedName name="Recharger_V8HD">#REF!</definedName>
    <definedName name="ReqStorage">#REF!</definedName>
    <definedName name="ROWSV8">#REF!</definedName>
    <definedName name="Select_Model">#REF!</definedName>
    <definedName name="Sides_Only" localSheetId="3">'X Sections'!$B$3</definedName>
    <definedName name="Sides_Only">#REF!</definedName>
    <definedName name="Stone_Above">'Residential Drainage Calculator'!$G$18</definedName>
    <definedName name="Stone_Base">'Residential Drainage Calculator'!$F$18</definedName>
    <definedName name="Stone_Photo">INDIRECT(#REF!)</definedName>
    <definedName name="stone_porosity">'Residential Drainage Calculator'!$C$22</definedName>
    <definedName name="Stone_Type">'Residential Drainage Calculator'!#REF!</definedName>
    <definedName name="Stoneporosity">#REF!</definedName>
    <definedName name="storagereq">'Residential Drainage Calculator'!$C$19</definedName>
    <definedName name="Typ._Stone">#REF!</definedName>
    <definedName name="Type_of_Fill">'X Sections'!$A$2:$A$4</definedName>
    <definedName name="TypeofSystem">#REF!</definedName>
    <definedName name="Typical_Stone">'X Sections'!$B$4</definedName>
    <definedName name="Unit">'Residential Drainage Calculator'!#REF!</definedName>
    <definedName name="Workabl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" i="1"/>
  <c r="F85" i="1"/>
  <c r="F83" i="1"/>
  <c r="F81" i="1"/>
  <c r="L16" i="5"/>
  <c r="F107" i="6"/>
  <c r="F106" i="6"/>
  <c r="F105" i="6"/>
  <c r="F91" i="6"/>
  <c r="F89" i="6"/>
  <c r="F88" i="6"/>
  <c r="F87" i="6"/>
  <c r="F104" i="6" s="1"/>
  <c r="F86" i="6"/>
  <c r="J17" i="6"/>
  <c r="I17" i="6"/>
  <c r="H17" i="6"/>
  <c r="E17" i="6"/>
  <c r="G17" i="6" s="1"/>
  <c r="J16" i="6"/>
  <c r="I16" i="6"/>
  <c r="H16" i="6"/>
  <c r="E16" i="6"/>
  <c r="H15" i="6"/>
  <c r="E15" i="6"/>
  <c r="E43" i="6" s="1"/>
  <c r="J14" i="6"/>
  <c r="I14" i="6"/>
  <c r="H14" i="6"/>
  <c r="E14" i="6"/>
  <c r="E41" i="6" s="1"/>
  <c r="H13" i="6"/>
  <c r="E13" i="6"/>
  <c r="J12" i="6"/>
  <c r="I12" i="6"/>
  <c r="H12" i="6"/>
  <c r="E12" i="6"/>
  <c r="E38" i="6" s="1"/>
  <c r="H11" i="6"/>
  <c r="E11" i="6"/>
  <c r="E37" i="6" s="1"/>
  <c r="C99" i="6" l="1"/>
  <c r="K17" i="6"/>
  <c r="L17" i="6" s="1"/>
  <c r="K12" i="6"/>
  <c r="L12" i="6" s="1"/>
  <c r="G12" i="6" s="1"/>
  <c r="F17" i="6"/>
  <c r="F12" i="6"/>
  <c r="K14" i="6"/>
  <c r="L14" i="6" s="1"/>
  <c r="G14" i="6" s="1"/>
  <c r="C109" i="6"/>
  <c r="K16" i="6"/>
  <c r="L16" i="6" s="1"/>
  <c r="F16" i="6" s="1"/>
  <c r="F43" i="6"/>
  <c r="G43" i="6"/>
  <c r="G37" i="6"/>
  <c r="F37" i="6"/>
  <c r="G41" i="6"/>
  <c r="F41" i="6"/>
  <c r="G38" i="6"/>
  <c r="F38" i="6"/>
  <c r="F14" i="6"/>
  <c r="E39" i="6"/>
  <c r="E44" i="6"/>
  <c r="C98" i="6"/>
  <c r="C77" i="1"/>
  <c r="G16" i="6" l="1"/>
  <c r="C97" i="6"/>
  <c r="C96" i="6"/>
  <c r="G44" i="6"/>
  <c r="F44" i="6"/>
  <c r="F39" i="6"/>
  <c r="G39" i="6"/>
  <c r="D26" i="1"/>
  <c r="D23" i="1"/>
  <c r="C28" i="1"/>
  <c r="C95" i="6" l="1"/>
  <c r="C94" i="6" s="1"/>
  <c r="C93" i="6" s="1"/>
  <c r="D17" i="6" s="1"/>
  <c r="N17" i="6" s="1"/>
  <c r="D41" i="6"/>
  <c r="L41" i="6" s="1"/>
  <c r="D38" i="6"/>
  <c r="L38" i="6" s="1"/>
  <c r="D44" i="6"/>
  <c r="L44" i="6" s="1"/>
  <c r="D12" i="6" l="1"/>
  <c r="N12" i="6" s="1"/>
  <c r="D14" i="6"/>
  <c r="N14" i="6" s="1"/>
  <c r="B14" i="5"/>
  <c r="C14" i="5"/>
  <c r="D14" i="5"/>
  <c r="B11" i="5"/>
  <c r="C11" i="5"/>
  <c r="D11" i="5"/>
  <c r="I14" i="3" l="1"/>
  <c r="B5" i="5" l="1"/>
  <c r="J11" i="6" s="1"/>
  <c r="D4" i="5"/>
  <c r="C4" i="5"/>
  <c r="D5" i="5"/>
  <c r="J15" i="6" s="1"/>
  <c r="C5" i="5"/>
  <c r="J13" i="6" s="1"/>
  <c r="B4" i="5"/>
  <c r="F11" i="6" l="1"/>
  <c r="I11" i="6"/>
  <c r="K11" i="6" s="1"/>
  <c r="L11" i="6" s="1"/>
  <c r="G11" i="6" s="1"/>
  <c r="D37" i="6"/>
  <c r="L37" i="6" s="1"/>
  <c r="D11" i="6"/>
  <c r="I13" i="6"/>
  <c r="K13" i="6" s="1"/>
  <c r="L13" i="6" s="1"/>
  <c r="G13" i="6" s="1"/>
  <c r="F13" i="6"/>
  <c r="D13" i="6"/>
  <c r="D39" i="6"/>
  <c r="L39" i="6" s="1"/>
  <c r="I15" i="6"/>
  <c r="K15" i="6" s="1"/>
  <c r="L15" i="6" s="1"/>
  <c r="G15" i="6" s="1"/>
  <c r="F15" i="6"/>
  <c r="N27" i="6"/>
  <c r="D43" i="6"/>
  <c r="L43" i="6" s="1"/>
  <c r="D15" i="6"/>
  <c r="B13" i="5"/>
  <c r="D13" i="5"/>
  <c r="C12" i="5"/>
  <c r="D12" i="5"/>
  <c r="C13" i="5"/>
  <c r="B12" i="5"/>
  <c r="D28" i="1"/>
  <c r="N11" i="6" l="1"/>
  <c r="C81" i="1" s="1"/>
  <c r="L81" i="1" s="1"/>
  <c r="N13" i="6"/>
  <c r="C83" i="1" s="1"/>
  <c r="L83" i="1" s="1"/>
  <c r="N15" i="6"/>
  <c r="C85" i="1"/>
  <c r="L85" i="1" s="1"/>
  <c r="I85" i="1" l="1"/>
  <c r="I83" i="1"/>
  <c r="I81" i="1"/>
</calcChain>
</file>

<file path=xl/sharedStrings.xml><?xml version="1.0" encoding="utf-8"?>
<sst xmlns="http://schemas.openxmlformats.org/spreadsheetml/2006/main" count="191" uniqueCount="149">
  <si>
    <t xml:space="preserve">&gt;&gt;More information on residential drainage. </t>
  </si>
  <si>
    <t>No stone</t>
  </si>
  <si>
    <t>Typ. Stone</t>
  </si>
  <si>
    <t>Sides Only</t>
  </si>
  <si>
    <t>Storage Required</t>
  </si>
  <si>
    <t>Storage Volume Provided</t>
  </si>
  <si>
    <t>English</t>
  </si>
  <si>
    <t>units</t>
  </si>
  <si>
    <t>Perculation Box</t>
  </si>
  <si>
    <t>Percolation Calculations</t>
  </si>
  <si>
    <t>Contactor 
100HD</t>
  </si>
  <si>
    <t>Recharger 
150XLHD</t>
  </si>
  <si>
    <t>Recharger 
180HD</t>
  </si>
  <si>
    <t>Recharger 
280HD</t>
  </si>
  <si>
    <t>Recharger 
330XLHD</t>
  </si>
  <si>
    <t>Recharger
 902HD</t>
  </si>
  <si>
    <t>Length</t>
  </si>
  <si>
    <t>Width</t>
  </si>
  <si>
    <t>Height</t>
  </si>
  <si>
    <t>Storage</t>
  </si>
  <si>
    <t>Total Percolation Volume</t>
  </si>
  <si>
    <t>Fill Photos</t>
  </si>
  <si>
    <t>Xsection</t>
  </si>
  <si>
    <t>English Calculations</t>
  </si>
  <si>
    <t>Metric Calculations</t>
  </si>
  <si>
    <r>
      <t>ft</t>
    </r>
    <r>
      <rPr>
        <vertAlign val="superscript"/>
        <sz val="9"/>
        <color theme="1"/>
        <rFont val="Calibri"/>
        <family val="2"/>
        <scheme val="minor"/>
      </rPr>
      <t>3</t>
    </r>
  </si>
  <si>
    <r>
      <t>m</t>
    </r>
    <r>
      <rPr>
        <vertAlign val="superscript"/>
        <sz val="9"/>
        <color theme="1"/>
        <rFont val="Calibri"/>
        <family val="2"/>
        <scheme val="minor"/>
      </rPr>
      <t>3</t>
    </r>
  </si>
  <si>
    <t>Stone Porosity</t>
  </si>
  <si>
    <t>%</t>
  </si>
  <si>
    <t>Metric</t>
  </si>
  <si>
    <t>This calculator program is for estimation purposes only and should not take the place of a comprehensive engineering design.</t>
  </si>
  <si>
    <t>System calculations do not include materials required conventional pipe manifolds.</t>
  </si>
  <si>
    <t>The successful application and use of this software product is dependent on the application of skilled engineering judgment supplied by the user and/or their consultant.</t>
  </si>
  <si>
    <t>The user of this software must select input values suitable to describe their specific engineering situation.</t>
  </si>
  <si>
    <t>The information presented in the computer output is for review, interpretation, application, and approval by a qualified engineer who must assume full responsibility for verifying that all output is appropriate and correct.</t>
  </si>
  <si>
    <t>Any implied or expressed warranties covering this software program or user manual including warranties of merchantability or fitness for any particular purpose are expressed excluded.</t>
  </si>
  <si>
    <t>Use of this program constitutes acceptance of this liability agreement by the user.</t>
  </si>
  <si>
    <t>Reconfiguring the bed layout may effect actual storage provided.</t>
  </si>
  <si>
    <t>Recharger 360HD</t>
  </si>
  <si>
    <t>24 Hour Percolation Volume (Vp)</t>
  </si>
  <si>
    <t>Sr = Pv/Ap/TIME (24Hrs)</t>
  </si>
  <si>
    <t>Pv = Ab x h</t>
  </si>
  <si>
    <t>Ab = PI x D x D</t>
  </si>
  <si>
    <t>Ap = Ab + Ac</t>
  </si>
  <si>
    <t>Ac = PI x D x Havg</t>
  </si>
  <si>
    <t>D</t>
  </si>
  <si>
    <t>h</t>
  </si>
  <si>
    <t>Havg</t>
  </si>
  <si>
    <t>Time</t>
  </si>
  <si>
    <t>Diameter</t>
  </si>
  <si>
    <t>PI</t>
  </si>
  <si>
    <t>Pi</t>
  </si>
  <si>
    <t>Ac</t>
  </si>
  <si>
    <t>Ab</t>
  </si>
  <si>
    <t>Ap</t>
  </si>
  <si>
    <t>Pv</t>
  </si>
  <si>
    <t>Sr (per min)</t>
  </si>
  <si>
    <t>Sr (per day)</t>
  </si>
  <si>
    <t>FOS</t>
  </si>
  <si>
    <t>Factor of Safety</t>
  </si>
  <si>
    <t>Sr (per day) w/ FOS</t>
  </si>
  <si>
    <t>Factor of Safety (FOS)</t>
  </si>
  <si>
    <t>Drop dimension</t>
  </si>
  <si>
    <t>Water Level Drop</t>
  </si>
  <si>
    <t>minutes</t>
  </si>
  <si>
    <t>Test Pit Diameter</t>
  </si>
  <si>
    <t xml:space="preserve">Composite Runoff Coefficient </t>
  </si>
  <si>
    <t>Soil Infiltration Rate</t>
  </si>
  <si>
    <t>▲H</t>
  </si>
  <si>
    <t>Change in height over time</t>
  </si>
  <si>
    <t>r</t>
  </si>
  <si>
    <t>Test Hole Radius</t>
  </si>
  <si>
    <t>Average Head</t>
  </si>
  <si>
    <t>Average Depth of Water (Head)</t>
  </si>
  <si>
    <t>▲t</t>
  </si>
  <si>
    <t>Time Interval</t>
  </si>
  <si>
    <t>Average Head Height</t>
  </si>
  <si>
    <r>
      <t>I</t>
    </r>
    <r>
      <rPr>
        <vertAlign val="subscript"/>
        <sz val="10"/>
        <color theme="1"/>
        <rFont val="Calibri"/>
        <family val="2"/>
        <scheme val="minor"/>
      </rPr>
      <t xml:space="preserve">t </t>
    </r>
    <r>
      <rPr>
        <sz val="10"/>
        <color theme="1"/>
        <rFont val="Calibri"/>
        <family val="2"/>
        <scheme val="minor"/>
      </rPr>
      <t>= (▲H 60 r)/(▲t (r+2H</t>
    </r>
    <r>
      <rPr>
        <vertAlign val="subscript"/>
        <sz val="10"/>
        <color theme="1"/>
        <rFont val="Calibri"/>
        <family val="2"/>
        <scheme val="minor"/>
      </rPr>
      <t>avg</t>
    </r>
    <r>
      <rPr>
        <sz val="10"/>
        <color theme="1"/>
        <rFont val="Calibri"/>
        <family val="2"/>
        <scheme val="minor"/>
      </rPr>
      <t>)</t>
    </r>
  </si>
  <si>
    <r>
      <t>I</t>
    </r>
    <r>
      <rPr>
        <vertAlign val="subscript"/>
        <sz val="10"/>
        <color theme="1"/>
        <rFont val="Calibri"/>
        <family val="2"/>
        <scheme val="minor"/>
      </rPr>
      <t>t</t>
    </r>
  </si>
  <si>
    <r>
      <t>H</t>
    </r>
    <r>
      <rPr>
        <vertAlign val="subscript"/>
        <sz val="10"/>
        <color theme="1"/>
        <rFont val="Calibri"/>
        <family val="2"/>
        <scheme val="minor"/>
      </rPr>
      <t>avg</t>
    </r>
  </si>
  <si>
    <t>inches</t>
  </si>
  <si>
    <r>
      <t>I</t>
    </r>
    <r>
      <rPr>
        <vertAlign val="subscript"/>
        <sz val="11"/>
        <color theme="1"/>
        <rFont val="Calibri"/>
        <family val="2"/>
        <scheme val="minor"/>
      </rPr>
      <t xml:space="preserve">t = </t>
    </r>
    <r>
      <rPr>
        <sz val="11"/>
        <color theme="1"/>
        <rFont val="Calibri"/>
        <family val="2"/>
        <scheme val="minor"/>
      </rPr>
      <t>Soil Infiltration Rate</t>
    </r>
  </si>
  <si>
    <t>Area</t>
  </si>
  <si>
    <t>Depth</t>
  </si>
  <si>
    <t>Percolation Volume (Vp)</t>
  </si>
  <si>
    <t>Drainage Area</t>
  </si>
  <si>
    <t>Volume of Excavation</t>
  </si>
  <si>
    <t>Volume</t>
  </si>
  <si>
    <t xml:space="preserve">Volume w/ Perc </t>
  </si>
  <si>
    <t>Date:</t>
  </si>
  <si>
    <t>PROJECT INFORMATION</t>
  </si>
  <si>
    <t xml:space="preserve">Project Name: </t>
  </si>
  <si>
    <t>ABC Test Project</t>
  </si>
  <si>
    <t>City:</t>
  </si>
  <si>
    <t>Anytown</t>
  </si>
  <si>
    <t xml:space="preserve">State / Province: </t>
  </si>
  <si>
    <t>CT</t>
  </si>
  <si>
    <t xml:space="preserve">Country: </t>
  </si>
  <si>
    <t>USA</t>
  </si>
  <si>
    <t>Typical</t>
  </si>
  <si>
    <t>System Input Parameters</t>
  </si>
  <si>
    <t>Specification Table</t>
  </si>
  <si>
    <t>REF</t>
  </si>
  <si>
    <t>Bare Chamber Volume</t>
  </si>
  <si>
    <t>Contactor 100HD</t>
  </si>
  <si>
    <t>Recharger 180HD</t>
  </si>
  <si>
    <t>Recharger 330XLHD</t>
  </si>
  <si>
    <t>A</t>
  </si>
  <si>
    <t>B</t>
  </si>
  <si>
    <t>C</t>
  </si>
  <si>
    <t>E</t>
  </si>
  <si>
    <t>Installed Storage</t>
  </si>
  <si>
    <t>Area Required</t>
  </si>
  <si>
    <t>No. of Chambers Required</t>
  </si>
  <si>
    <t>Chamber Model</t>
  </si>
  <si>
    <t>Chamber Length (ft)</t>
  </si>
  <si>
    <t>Effective Depth (in)</t>
  </si>
  <si>
    <t>Chamber Height (in)</t>
  </si>
  <si>
    <t>Chamber Width (in)</t>
  </si>
  <si>
    <t>Stone Border Width (in)</t>
  </si>
  <si>
    <t>Row Spacing (in)</t>
  </si>
  <si>
    <t>Copyright 2024 CULTEC. All rights reserved.</t>
  </si>
  <si>
    <t>Typical System Cross-Section Detail</t>
  </si>
  <si>
    <t xml:space="preserve">CULTEC and any of its affiliates shall not be held liable for any special, incidental, consequential, indirect or other similar damages resulting from the use of this software. </t>
  </si>
  <si>
    <t>Instructions:</t>
  </si>
  <si>
    <t>NO</t>
  </si>
  <si>
    <t>Include Exfiltration</t>
  </si>
  <si>
    <t>in</t>
  </si>
  <si>
    <t>Rainfall Depth</t>
  </si>
  <si>
    <t>Minimum Installed Storage per Unit</t>
  </si>
  <si>
    <r>
      <t>1.87ft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/ft                                           14.00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/unit                                105 gal</t>
    </r>
  </si>
  <si>
    <r>
      <t>3.45ft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/ft                                             21.81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/unit                                163 gal</t>
    </r>
  </si>
  <si>
    <r>
      <t>7.46ft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/ft                                                    52.21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/unit                                          391 gal</t>
    </r>
  </si>
  <si>
    <t>Minimum Required Area</t>
  </si>
  <si>
    <t>Step 1: Enter Area of Impervious Cover in "Drainage Area" Cell</t>
  </si>
  <si>
    <t>System Output Table</t>
  </si>
  <si>
    <t>Step 3: Reference Output Table to Determine Number of Chambers and System Area Required for Each Available Chamber Model</t>
  </si>
  <si>
    <r>
      <t>ft</t>
    </r>
    <r>
      <rPr>
        <b/>
        <i/>
        <vertAlign val="superscript"/>
        <sz val="12"/>
        <color theme="0"/>
        <rFont val="Calibri"/>
        <family val="2"/>
        <scheme val="minor"/>
      </rPr>
      <t>3</t>
    </r>
  </si>
  <si>
    <r>
      <t>ft</t>
    </r>
    <r>
      <rPr>
        <b/>
        <i/>
        <vertAlign val="superscript"/>
        <sz val="12"/>
        <color theme="0"/>
        <rFont val="Calibri"/>
        <family val="2"/>
        <scheme val="minor"/>
      </rPr>
      <t>2</t>
    </r>
  </si>
  <si>
    <t>Lookup Rainfall Data HERE</t>
  </si>
  <si>
    <t>(choose one)</t>
  </si>
  <si>
    <t>or</t>
  </si>
  <si>
    <t>Step 2: Enter Required Depth of Rainfall in "Rainfall Depth" Cell. Use NOAA's National Weather Service Precipitation Frequency Data Server (PFDS) Link to Rainfall Data Map if Required</t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</si>
  <si>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</si>
  <si>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</si>
  <si>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Call CULTEC for cost estimates and system design. </t>
  </si>
  <si>
    <t>Find a CULTEC Rep near you</t>
  </si>
  <si>
    <t>Email Technical Services</t>
  </si>
  <si>
    <t>Contact CULTEC Technical Services at CT-tech@cultec.com. Or call 1-800-428-5832 or 203-775-4416 for further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</si>
</sst>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.0\ \f\t"/>
    <numFmt numFmtId="165" formatCode="#.00\ \f\t\^\3"/>
    <numFmt numFmtId="166" formatCode="0.0000"/>
    <numFmt numFmtId="167" formatCode="#.000\ "/>
    <numFmt numFmtId="168" formatCode="0.000"/>
    <numFmt numFmtId="169" formatCode="[$-409]mmmm\ d\,\ yyyy;@"/>
    <numFmt numFmtId="170" formatCode="#.00\ \f\t\^\2"/>
  </numFmts>
  <fonts count="3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sz val="2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color rgb="FFFF0000"/>
      <name val="Calibri"/>
      <family val="2"/>
    </font>
    <font>
      <vertAlign val="subscript"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vertAlign val="superscript"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1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2" fillId="0" borderId="0" xfId="0" applyFont="1"/>
    <xf numFmtId="0" fontId="4" fillId="0" borderId="0" xfId="0" applyFont="1"/>
    <xf numFmtId="0" fontId="6" fillId="0" borderId="0" xfId="1" applyFont="1" applyAlignment="1" applyProtection="1">
      <protection hidden="1"/>
    </xf>
    <xf numFmtId="0" fontId="7" fillId="0" borderId="0" xfId="0" applyFont="1"/>
    <xf numFmtId="0" fontId="8" fillId="0" borderId="9" xfId="0" applyFont="1" applyBorder="1" applyAlignment="1">
      <alignment horizontal="center" vertical="center"/>
    </xf>
    <xf numFmtId="0" fontId="8" fillId="0" borderId="0" xfId="0" applyFont="1"/>
    <xf numFmtId="1" fontId="0" fillId="0" borderId="0" xfId="0" applyNumberForma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9" fillId="2" borderId="0" xfId="0" applyFont="1" applyFill="1"/>
    <xf numFmtId="0" fontId="19" fillId="2" borderId="10" xfId="0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9" xfId="0" applyBorder="1"/>
    <xf numFmtId="167" fontId="0" fillId="0" borderId="17" xfId="0" applyNumberFormat="1" applyBorder="1" applyAlignment="1">
      <alignment horizontal="center" vertical="center"/>
    </xf>
    <xf numFmtId="167" fontId="0" fillId="2" borderId="17" xfId="0" applyNumberFormat="1" applyFill="1" applyBorder="1" applyAlignment="1">
      <alignment horizontal="center" vertical="center"/>
    </xf>
    <xf numFmtId="166" fontId="0" fillId="2" borderId="15" xfId="3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0" fontId="23" fillId="0" borderId="0" xfId="1" applyFont="1" applyAlignment="1" applyProtection="1"/>
    <xf numFmtId="0" fontId="1" fillId="0" borderId="18" xfId="0" applyFont="1" applyBorder="1" applyAlignment="1">
      <alignment vertical="center"/>
    </xf>
    <xf numFmtId="168" fontId="7" fillId="0" borderId="0" xfId="0" applyNumberFormat="1" applyFont="1"/>
    <xf numFmtId="168" fontId="17" fillId="0" borderId="0" xfId="0" applyNumberFormat="1" applyFont="1"/>
    <xf numFmtId="0" fontId="9" fillId="0" borderId="0" xfId="0" applyFont="1" applyAlignment="1">
      <alignment horizontal="center" vertical="center"/>
    </xf>
    <xf numFmtId="2" fontId="17" fillId="0" borderId="0" xfId="0" applyNumberFormat="1" applyFont="1"/>
    <xf numFmtId="168" fontId="0" fillId="5" borderId="9" xfId="0" applyNumberFormat="1" applyFill="1" applyBorder="1"/>
    <xf numFmtId="2" fontId="7" fillId="5" borderId="24" xfId="0" applyNumberFormat="1" applyFont="1" applyFill="1" applyBorder="1"/>
    <xf numFmtId="2" fontId="7" fillId="7" borderId="2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20" fillId="0" borderId="0" xfId="0" applyFont="1" applyAlignment="1">
      <alignment horizontal="center" vertical="center"/>
    </xf>
    <xf numFmtId="168" fontId="13" fillId="0" borderId="0" xfId="2" applyNumberFormat="1" applyFont="1" applyAlignment="1">
      <alignment vertical="center"/>
    </xf>
    <xf numFmtId="2" fontId="13" fillId="0" borderId="0" xfId="2" applyNumberFormat="1" applyFont="1" applyAlignment="1">
      <alignment vertical="center"/>
    </xf>
    <xf numFmtId="0" fontId="26" fillId="8" borderId="13" xfId="2" applyFont="1" applyFill="1" applyBorder="1" applyAlignment="1">
      <alignment vertical="center"/>
    </xf>
    <xf numFmtId="0" fontId="13" fillId="0" borderId="18" xfId="2" applyFont="1" applyBorder="1" applyAlignment="1">
      <alignment vertical="center"/>
    </xf>
    <xf numFmtId="168" fontId="13" fillId="0" borderId="18" xfId="2" applyNumberFormat="1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0" borderId="1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6" xfId="0" applyFont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0" fontId="1" fillId="0" borderId="18" xfId="0" applyFont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19" fillId="2" borderId="13" xfId="0" applyFon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2" borderId="25" xfId="0" applyNumberForma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165" fontId="0" fillId="2" borderId="25" xfId="0" applyNumberFormat="1" applyFill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" fontId="27" fillId="0" borderId="0" xfId="0" applyNumberFormat="1" applyFont="1" applyAlignment="1">
      <alignment horizontal="left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25" xfId="0" applyBorder="1" applyAlignment="1">
      <alignment horizontal="center" vertical="center"/>
    </xf>
    <xf numFmtId="0" fontId="0" fillId="0" borderId="15" xfId="0" applyBorder="1"/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30" fillId="0" borderId="17" xfId="2" applyFont="1" applyBorder="1" applyAlignment="1" applyProtection="1">
      <alignment vertical="center"/>
      <protection locked="0"/>
    </xf>
    <xf numFmtId="0" fontId="30" fillId="0" borderId="15" xfId="2" applyFont="1" applyBorder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horizontal="left"/>
      <protection locked="0"/>
    </xf>
    <xf numFmtId="0" fontId="3" fillId="0" borderId="0" xfId="2" applyFont="1" applyAlignment="1">
      <alignment horizontal="left"/>
    </xf>
    <xf numFmtId="0" fontId="31" fillId="0" borderId="0" xfId="0" applyFont="1"/>
    <xf numFmtId="0" fontId="0" fillId="3" borderId="9" xfId="0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33" fillId="4" borderId="1" xfId="0" applyFont="1" applyFill="1" applyBorder="1" applyAlignment="1" applyProtection="1">
      <alignment horizontal="center" vertical="center"/>
      <protection hidden="1"/>
    </xf>
    <xf numFmtId="0" fontId="33" fillId="4" borderId="4" xfId="0" applyFont="1" applyFill="1" applyBorder="1" applyAlignment="1" applyProtection="1">
      <alignment horizontal="center" vertical="center"/>
      <protection hidden="1"/>
    </xf>
    <xf numFmtId="0" fontId="31" fillId="0" borderId="1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" fontId="31" fillId="0" borderId="27" xfId="0" applyNumberFormat="1" applyFont="1" applyBorder="1" applyAlignment="1" applyProtection="1">
      <alignment horizontal="center" vertical="center"/>
      <protection hidden="1"/>
    </xf>
    <xf numFmtId="0" fontId="33" fillId="4" borderId="28" xfId="0" applyFont="1" applyFill="1" applyBorder="1" applyAlignment="1" applyProtection="1">
      <alignment horizontal="center" vertical="center" wrapText="1"/>
      <protection hidden="1"/>
    </xf>
    <xf numFmtId="1" fontId="31" fillId="0" borderId="28" xfId="0" applyNumberFormat="1" applyFont="1" applyBorder="1" applyAlignment="1" applyProtection="1">
      <alignment horizontal="center" vertical="center"/>
      <protection hidden="1"/>
    </xf>
    <xf numFmtId="1" fontId="31" fillId="0" borderId="29" xfId="0" applyNumberFormat="1" applyFont="1" applyBorder="1" applyAlignment="1" applyProtection="1">
      <alignment horizontal="center" vertical="center"/>
      <protection hidden="1"/>
    </xf>
    <xf numFmtId="0" fontId="34" fillId="4" borderId="29" xfId="0" applyFont="1" applyFill="1" applyBorder="1" applyAlignment="1" applyProtection="1">
      <alignment horizontal="center" vertical="top"/>
      <protection hidden="1"/>
    </xf>
    <xf numFmtId="0" fontId="32" fillId="0" borderId="7" xfId="0" applyFont="1" applyBorder="1" applyAlignment="1">
      <alignment horizontal="center" vertical="center"/>
    </xf>
    <xf numFmtId="1" fontId="16" fillId="5" borderId="9" xfId="0" applyNumberFormat="1" applyFont="1" applyFill="1" applyBorder="1" applyAlignment="1">
      <alignment horizontal="center" vertical="center"/>
    </xf>
    <xf numFmtId="1" fontId="31" fillId="0" borderId="7" xfId="0" applyNumberFormat="1" applyFont="1" applyBorder="1" applyAlignment="1" applyProtection="1">
      <alignment horizontal="center" vertical="center"/>
      <protection locked="0" hidden="1"/>
    </xf>
    <xf numFmtId="1" fontId="31" fillId="0" borderId="0" xfId="0" applyNumberFormat="1" applyFont="1" applyAlignment="1" applyProtection="1">
      <alignment horizontal="center" vertical="center"/>
      <protection locked="0" hidden="1"/>
    </xf>
    <xf numFmtId="1" fontId="31" fillId="0" borderId="8" xfId="0" applyNumberFormat="1" applyFont="1" applyBorder="1" applyAlignment="1" applyProtection="1">
      <alignment horizontal="center" vertical="center"/>
      <protection locked="0" hidden="1"/>
    </xf>
    <xf numFmtId="2" fontId="31" fillId="0" borderId="7" xfId="0" applyNumberFormat="1" applyFont="1" applyBorder="1" applyAlignment="1" applyProtection="1">
      <alignment horizontal="center" vertical="center"/>
      <protection locked="0" hidden="1"/>
    </xf>
    <xf numFmtId="2" fontId="31" fillId="0" borderId="0" xfId="0" applyNumberFormat="1" applyFont="1" applyAlignment="1" applyProtection="1">
      <alignment horizontal="center" vertical="center"/>
      <protection locked="0" hidden="1"/>
    </xf>
    <xf numFmtId="2" fontId="31" fillId="0" borderId="8" xfId="0" applyNumberFormat="1" applyFont="1" applyBorder="1" applyAlignment="1" applyProtection="1">
      <alignment horizontal="center" vertical="center"/>
      <protection locked="0" hidden="1"/>
    </xf>
    <xf numFmtId="1" fontId="31" fillId="0" borderId="27" xfId="0" applyNumberFormat="1" applyFont="1" applyBorder="1" applyAlignment="1" applyProtection="1">
      <alignment horizontal="center" vertical="center"/>
      <protection locked="0" hidden="1"/>
    </xf>
    <xf numFmtId="0" fontId="34" fillId="4" borderId="4" xfId="0" applyFont="1" applyFill="1" applyBorder="1" applyAlignment="1" applyProtection="1">
      <alignment horizontal="center" vertical="top"/>
      <protection hidden="1"/>
    </xf>
    <xf numFmtId="0" fontId="34" fillId="4" borderId="5" xfId="0" applyFont="1" applyFill="1" applyBorder="1" applyAlignment="1" applyProtection="1">
      <alignment horizontal="center" vertical="top"/>
      <protection hidden="1"/>
    </xf>
    <xf numFmtId="0" fontId="34" fillId="4" borderId="6" xfId="0" applyFont="1" applyFill="1" applyBorder="1" applyAlignment="1" applyProtection="1">
      <alignment horizontal="center" vertical="top"/>
      <protection hidden="1"/>
    </xf>
    <xf numFmtId="1" fontId="31" fillId="0" borderId="1" xfId="0" applyNumberFormat="1" applyFont="1" applyBorder="1" applyAlignment="1" applyProtection="1">
      <alignment horizontal="center" vertical="center"/>
      <protection hidden="1"/>
    </xf>
    <xf numFmtId="1" fontId="31" fillId="0" borderId="2" xfId="0" applyNumberFormat="1" applyFont="1" applyBorder="1" applyAlignment="1" applyProtection="1">
      <alignment horizontal="center" vertical="center"/>
      <protection hidden="1"/>
    </xf>
    <xf numFmtId="1" fontId="31" fillId="0" borderId="3" xfId="0" applyNumberFormat="1" applyFont="1" applyBorder="1" applyAlignment="1" applyProtection="1">
      <alignment horizontal="center" vertical="center"/>
      <protection hidden="1"/>
    </xf>
    <xf numFmtId="1" fontId="31" fillId="0" borderId="7" xfId="0" applyNumberFormat="1" applyFont="1" applyBorder="1" applyAlignment="1" applyProtection="1">
      <alignment horizontal="center" vertical="center"/>
      <protection hidden="1"/>
    </xf>
    <xf numFmtId="1" fontId="31" fillId="0" borderId="0" xfId="0" applyNumberFormat="1" applyFont="1" applyAlignment="1" applyProtection="1">
      <alignment horizontal="center" vertical="center"/>
      <protection hidden="1"/>
    </xf>
    <xf numFmtId="1" fontId="31" fillId="0" borderId="8" xfId="0" applyNumberFormat="1" applyFont="1" applyBorder="1" applyAlignment="1" applyProtection="1">
      <alignment horizontal="center" vertical="center"/>
      <protection hidden="1"/>
    </xf>
    <xf numFmtId="1" fontId="31" fillId="0" borderId="4" xfId="0" applyNumberFormat="1" applyFont="1" applyBorder="1" applyAlignment="1" applyProtection="1">
      <alignment horizontal="center" vertical="center"/>
      <protection hidden="1"/>
    </xf>
    <xf numFmtId="1" fontId="31" fillId="0" borderId="5" xfId="0" applyNumberFormat="1" applyFont="1" applyBorder="1" applyAlignment="1" applyProtection="1">
      <alignment horizontal="center" vertical="center"/>
      <protection hidden="1"/>
    </xf>
    <xf numFmtId="1" fontId="31" fillId="0" borderId="6" xfId="0" applyNumberFormat="1" applyFont="1" applyBorder="1" applyAlignment="1" applyProtection="1">
      <alignment horizontal="center" vertical="center"/>
      <protection hidden="1"/>
    </xf>
    <xf numFmtId="0" fontId="14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33" fillId="4" borderId="1" xfId="0" applyFont="1" applyFill="1" applyBorder="1" applyAlignment="1" applyProtection="1">
      <alignment horizontal="center" vertical="center" wrapText="1"/>
      <protection hidden="1"/>
    </xf>
    <xf numFmtId="0" fontId="33" fillId="4" borderId="2" xfId="0" applyFont="1" applyFill="1" applyBorder="1" applyAlignment="1" applyProtection="1">
      <alignment horizontal="center" vertical="center" wrapText="1"/>
      <protection hidden="1"/>
    </xf>
    <xf numFmtId="0" fontId="33" fillId="4" borderId="3" xfId="0" applyFont="1" applyFill="1" applyBorder="1" applyAlignment="1" applyProtection="1">
      <alignment horizontal="center" vertical="center" wrapText="1"/>
      <protection hidden="1"/>
    </xf>
    <xf numFmtId="1" fontId="31" fillId="0" borderId="27" xfId="0" applyNumberFormat="1" applyFont="1" applyBorder="1" applyAlignment="1" applyProtection="1">
      <alignment horizontal="center" vertical="center"/>
      <protection hidden="1"/>
    </xf>
    <xf numFmtId="2" fontId="31" fillId="0" borderId="4" xfId="0" applyNumberFormat="1" applyFont="1" applyBorder="1" applyAlignment="1" applyProtection="1">
      <alignment horizontal="center" vertical="center"/>
      <protection hidden="1"/>
    </xf>
    <xf numFmtId="2" fontId="31" fillId="0" borderId="5" xfId="0" applyNumberFormat="1" applyFont="1" applyBorder="1" applyAlignment="1" applyProtection="1">
      <alignment horizontal="center" vertical="center"/>
      <protection hidden="1"/>
    </xf>
    <xf numFmtId="2" fontId="31" fillId="0" borderId="6" xfId="0" applyNumberFormat="1" applyFont="1" applyBorder="1" applyAlignment="1" applyProtection="1">
      <alignment horizontal="center" vertical="center"/>
      <protection hidden="1"/>
    </xf>
    <xf numFmtId="2" fontId="31" fillId="0" borderId="7" xfId="0" applyNumberFormat="1" applyFont="1" applyBorder="1" applyAlignment="1" applyProtection="1">
      <alignment horizontal="center" vertical="center"/>
      <protection hidden="1"/>
    </xf>
    <xf numFmtId="2" fontId="31" fillId="0" borderId="0" xfId="0" applyNumberFormat="1" applyFont="1" applyAlignment="1" applyProtection="1">
      <alignment horizontal="center" vertical="center"/>
      <protection hidden="1"/>
    </xf>
    <xf numFmtId="2" fontId="31" fillId="0" borderId="8" xfId="0" applyNumberFormat="1" applyFont="1" applyBorder="1" applyAlignment="1" applyProtection="1">
      <alignment horizontal="center" vertical="center"/>
      <protection hidden="1"/>
    </xf>
    <xf numFmtId="2" fontId="31" fillId="0" borderId="1" xfId="0" applyNumberFormat="1" applyFont="1" applyBorder="1" applyAlignment="1" applyProtection="1">
      <alignment horizontal="center" vertical="center"/>
      <protection hidden="1"/>
    </xf>
    <xf numFmtId="2" fontId="31" fillId="0" borderId="2" xfId="0" applyNumberFormat="1" applyFont="1" applyBorder="1" applyAlignment="1" applyProtection="1">
      <alignment horizontal="center" vertical="center"/>
      <protection hidden="1"/>
    </xf>
    <xf numFmtId="2" fontId="31" fillId="0" borderId="3" xfId="0" applyNumberFormat="1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26" xfId="2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5" fillId="0" borderId="0" xfId="1" applyAlignment="1" applyProtection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4" fillId="4" borderId="24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1" applyFont="1" applyAlignment="1" applyProtection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3000000}"/>
  </cellStyles>
  <dxfs count="8"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210475</xdr:colOff>
      <xdr:row>0</xdr:row>
      <xdr:rowOff>0</xdr:rowOff>
    </xdr:from>
    <xdr:to>
      <xdr:col>7</xdr:col>
      <xdr:colOff>647238</xdr:colOff>
      <xdr:row>0</xdr:row>
      <xdr:rowOff>1452087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2DE78A3-D328-4C2D-E9D2-405C5EDA78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25" b="16171"/>
        <a:stretch/>
      </xdr:blipFill>
      <xdr:spPr bwMode="auto">
        <a:xfrm>
          <a:off x="4356651" y="0"/>
          <a:ext cx="3688374" cy="1452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2198317</xdr:colOff>
      <xdr:row>32</xdr:row>
      <xdr:rowOff>15265</xdr:rowOff>
    </xdr:from>
    <xdr:to>
      <xdr:col>11</xdr:col>
      <xdr:colOff>0</xdr:colOff>
      <xdr:row>55</xdr:row>
      <xdr:rowOff>79311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EE2F8E-842A-4948-87FD-46CD9CCCC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799" y="8639312"/>
          <a:ext cx="7878013" cy="43939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1927412</xdr:colOff>
          <xdr:row>56</xdr:row>
          <xdr:rowOff>156882</xdr:rowOff>
        </xdr:from>
        <xdr:to>
          <xdr:col>11</xdr:col>
          <xdr:colOff>56030</xdr:colOff>
          <xdr:row>71</xdr:row>
          <xdr:rowOff>80682</xdr:rowOff>
        </xdr:to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7BAB209A-84BB-6410-0E34-849A7CDE90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Data!$A$18:$E$28" spid="_x0000_s104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308412" y="11766176"/>
              <a:ext cx="8169089" cy="2781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51</xdr:row>
      <xdr:rowOff>38100</xdr:rowOff>
    </xdr:from>
    <xdr:ext cx="4495798" cy="5924550"/>
    <xdr:pic>
      <xdr:nvPicPr>
        <xdr:cNvPr id="2" name="Picture 1">
          <a:extLst>
            <a:ext uri="{FF2B5EF4-FFF2-40B4-BE49-F238E27FC236}">
              <a16:creationId xmlns:a16="http://schemas.microsoft.com/office/drawing/2014/main" id="{F7A3116F-F021-4DEF-9055-1A92AD601F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00" r="-2300"/>
        <a:stretch/>
      </xdr:blipFill>
      <xdr:spPr>
        <a:xfrm flipV="1">
          <a:off x="12763500" y="11687175"/>
          <a:ext cx="4495798" cy="5924550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50</xdr:row>
      <xdr:rowOff>161924</xdr:rowOff>
    </xdr:from>
    <xdr:ext cx="5547641" cy="6029325"/>
    <xdr:pic>
      <xdr:nvPicPr>
        <xdr:cNvPr id="3" name="Picture 2">
          <a:extLst>
            <a:ext uri="{FF2B5EF4-FFF2-40B4-BE49-F238E27FC236}">
              <a16:creationId xmlns:a16="http://schemas.microsoft.com/office/drawing/2014/main" id="{EC56AE1C-8D78-4903-964E-2D946CF3C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68900" y="11620499"/>
          <a:ext cx="5547641" cy="60293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0</xdr:col>
      <xdr:colOff>876300</xdr:colOff>
      <xdr:row>0</xdr:row>
      <xdr:rowOff>781050</xdr:rowOff>
    </xdr:to>
    <xdr:pic>
      <xdr:nvPicPr>
        <xdr:cNvPr id="8" name="Picture 7" descr="Image result for cultec log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771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1695449</xdr:colOff>
      <xdr:row>1</xdr:row>
      <xdr:rowOff>895351</xdr:rowOff>
    </xdr:from>
    <xdr:to>
      <xdr:col>1</xdr:col>
      <xdr:colOff>7547970</xdr:colOff>
      <xdr:row>1</xdr:row>
      <xdr:rowOff>4202593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666B30-9BB0-DC3D-77E4-D7C3FC8FB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3224" y="1085851"/>
          <a:ext cx="5852521" cy="33072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elous\Desktop\Copy%20of%20Design%20Calculator-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Data"/>
      <sheetName val="Brian Work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ultec.com/rep-finder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hdsc.nws.noaa.gov/pfds/" TargetMode="External"/><Relationship Id="rId1" Type="http://schemas.openxmlformats.org/officeDocument/2006/relationships/hyperlink" Target="http://www.cultec.com/residential-drainage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T-Tech@cultec.com?subject=Request%20for%20Residential%20Drainage%20Design%20Assistanc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AB102"/>
  <sheetViews>
    <sheetView showGridLines="0" tabSelected="1" zoomScaleNormal="100" workbookViewId="0">
      <selection activeCell="B75" sqref="B75:L75"/>
    </sheetView>
  </sheetViews>
  <sheetFormatPr defaultRowHeight="15" x14ac:dyDescent="0.25"/>
  <cols>
    <col min="1" max="1" width="5.7109375" customWidth="1"/>
    <col min="2" max="2" width="42.42578125" customWidth="1"/>
    <col min="3" max="3" width="15.140625" bestFit="1" customWidth="1"/>
    <col min="4" max="4" width="8.5703125" customWidth="1"/>
    <col min="5" max="5" width="14.85546875" customWidth="1"/>
    <col min="6" max="6" width="13.5703125" customWidth="1"/>
    <col min="7" max="10" width="11.7109375" customWidth="1"/>
    <col min="12" max="12" width="30.28515625" customWidth="1"/>
    <col min="14" max="14" width="24.7109375" bestFit="1" customWidth="1"/>
    <col min="15" max="15" width="21" customWidth="1"/>
    <col min="16" max="16" width="26.28515625" bestFit="1" customWidth="1"/>
    <col min="17" max="17" width="14.7109375" bestFit="1" customWidth="1"/>
    <col min="18" max="23" width="9.140625" customWidth="1"/>
    <col min="24" max="25" width="21.42578125" customWidth="1"/>
    <col min="26" max="26" width="16.7109375" customWidth="1"/>
    <col min="27" max="27" width="12.5703125" customWidth="1"/>
  </cols>
  <sheetData>
    <row r="1" spans="1:28" ht="116.25" customHeight="1" x14ac:dyDescent="0.25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28" ht="21" x14ac:dyDescent="0.35">
      <c r="B2" s="106" t="s">
        <v>89</v>
      </c>
      <c r="C2" s="105">
        <f ca="1">(TODAY())</f>
        <v>45524</v>
      </c>
      <c r="D2" s="61"/>
      <c r="E2" s="62"/>
      <c r="F2" s="62"/>
      <c r="G2" s="1"/>
      <c r="H2" s="1"/>
      <c r="I2" s="1"/>
      <c r="J2" s="1"/>
      <c r="K2" s="1"/>
      <c r="L2" s="1"/>
    </row>
    <row r="3" spans="1:28" ht="21" x14ac:dyDescent="0.35">
      <c r="B3" s="63" t="s">
        <v>90</v>
      </c>
      <c r="C3" s="64"/>
      <c r="D3" s="64"/>
      <c r="E3" s="64"/>
      <c r="F3" s="65"/>
      <c r="G3" s="65"/>
      <c r="H3" s="69"/>
      <c r="I3" s="69"/>
      <c r="J3" s="69"/>
      <c r="K3" s="69"/>
      <c r="L3" s="70"/>
    </row>
    <row r="4" spans="1:28" ht="21" x14ac:dyDescent="0.35">
      <c r="B4" s="103" t="s">
        <v>91</v>
      </c>
      <c r="C4" s="157" t="s">
        <v>92</v>
      </c>
      <c r="D4" s="157"/>
      <c r="E4" s="157"/>
      <c r="F4" s="157"/>
      <c r="G4" s="157"/>
      <c r="H4" s="1"/>
      <c r="I4" s="1"/>
      <c r="J4" s="1"/>
      <c r="K4" s="1"/>
      <c r="L4" s="71"/>
    </row>
    <row r="5" spans="1:28" ht="21" x14ac:dyDescent="0.35">
      <c r="B5" s="103" t="s">
        <v>93</v>
      </c>
      <c r="C5" s="157" t="s">
        <v>94</v>
      </c>
      <c r="D5" s="157"/>
      <c r="E5" s="157"/>
      <c r="F5" s="157"/>
      <c r="G5" s="157"/>
      <c r="H5" s="1"/>
      <c r="I5" s="1"/>
      <c r="J5" s="1"/>
      <c r="K5" s="1"/>
      <c r="L5" s="71"/>
      <c r="N5" s="40"/>
    </row>
    <row r="6" spans="1:28" ht="21" x14ac:dyDescent="0.35">
      <c r="B6" s="103" t="s">
        <v>95</v>
      </c>
      <c r="C6" s="157" t="s">
        <v>96</v>
      </c>
      <c r="D6" s="157"/>
      <c r="E6" s="157"/>
      <c r="F6" s="157"/>
      <c r="G6" s="157"/>
      <c r="H6" s="1"/>
      <c r="I6" s="1"/>
      <c r="J6" s="1"/>
      <c r="K6" s="1"/>
      <c r="L6" s="71"/>
    </row>
    <row r="7" spans="1:28" ht="21" x14ac:dyDescent="0.35">
      <c r="B7" s="104" t="s">
        <v>97</v>
      </c>
      <c r="C7" s="158" t="s">
        <v>98</v>
      </c>
      <c r="D7" s="158"/>
      <c r="E7" s="158"/>
      <c r="F7" s="158"/>
      <c r="G7" s="158"/>
      <c r="H7" s="72"/>
      <c r="I7" s="72"/>
      <c r="J7" s="72"/>
      <c r="K7" s="72"/>
      <c r="L7" s="73"/>
    </row>
    <row r="8" spans="1:28" ht="21" x14ac:dyDescent="0.3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28" ht="21" x14ac:dyDescent="0.35">
      <c r="B9" s="1" t="s">
        <v>124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28" ht="21" x14ac:dyDescent="0.35">
      <c r="B10" s="107" t="s">
        <v>134</v>
      </c>
      <c r="C10" s="107"/>
      <c r="D10" s="1"/>
      <c r="E10" s="1"/>
      <c r="F10" s="1"/>
      <c r="G10" s="1"/>
      <c r="H10" s="1"/>
      <c r="I10" s="1"/>
      <c r="J10" s="1"/>
      <c r="K10" s="1"/>
      <c r="L10" s="1"/>
    </row>
    <row r="11" spans="1:28" ht="21" x14ac:dyDescent="0.35">
      <c r="B11" s="107" t="s">
        <v>142</v>
      </c>
      <c r="C11" s="107"/>
      <c r="D11" s="1"/>
      <c r="E11" s="1"/>
      <c r="F11" s="1"/>
      <c r="G11" s="1"/>
      <c r="H11" s="1"/>
      <c r="I11" s="1"/>
      <c r="J11" s="1"/>
      <c r="K11" s="1"/>
      <c r="L11" s="1"/>
    </row>
    <row r="12" spans="1:28" ht="21" x14ac:dyDescent="0.35">
      <c r="B12" s="107" t="s">
        <v>136</v>
      </c>
      <c r="C12" s="107"/>
      <c r="D12" s="1"/>
      <c r="E12" s="1"/>
      <c r="F12" s="1"/>
      <c r="G12" s="1"/>
      <c r="H12" s="1"/>
      <c r="I12" s="1"/>
      <c r="J12" s="1"/>
      <c r="K12" s="1"/>
      <c r="L12" s="1"/>
    </row>
    <row r="13" spans="1:28" ht="2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8" ht="30" customHeight="1" x14ac:dyDescent="0.25">
      <c r="B14" s="141" t="s">
        <v>100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3"/>
    </row>
    <row r="15" spans="1:28" ht="15.75" customHeight="1" x14ac:dyDescent="0.25">
      <c r="B15" s="12"/>
      <c r="C15" s="13"/>
      <c r="D15" s="13"/>
      <c r="E15" s="13"/>
      <c r="F15" s="46"/>
      <c r="G15" s="46"/>
      <c r="H15" s="77"/>
      <c r="I15" s="77"/>
      <c r="J15" s="77"/>
      <c r="K15" s="77"/>
      <c r="L15" s="77"/>
    </row>
    <row r="16" spans="1:28" s="3" customFormat="1" ht="16.5" customHeight="1" x14ac:dyDescent="0.25">
      <c r="B16" t="s">
        <v>85</v>
      </c>
      <c r="C16" s="43">
        <v>1000</v>
      </c>
      <c r="D16" t="s">
        <v>143</v>
      </c>
      <c r="E16"/>
      <c r="F16"/>
      <c r="G16"/>
      <c r="H16"/>
      <c r="I16" s="16"/>
      <c r="J16" s="16"/>
      <c r="K16" s="16"/>
      <c r="L16" s="16"/>
      <c r="AB16" s="10"/>
    </row>
    <row r="17" spans="2:28" s="3" customFormat="1" ht="15.75" hidden="1" customHeight="1" x14ac:dyDescent="0.25">
      <c r="B17" t="s">
        <v>66</v>
      </c>
      <c r="C17" s="43">
        <v>1</v>
      </c>
      <c r="E17" s="27"/>
      <c r="F17" s="17"/>
      <c r="G17" s="17"/>
      <c r="H17"/>
      <c r="I17" s="16"/>
      <c r="J17" s="16"/>
      <c r="K17" s="16"/>
      <c r="L17" s="16"/>
      <c r="AB17" s="11"/>
    </row>
    <row r="18" spans="2:28" x14ac:dyDescent="0.25">
      <c r="B18" t="s">
        <v>128</v>
      </c>
      <c r="C18" s="43">
        <v>3</v>
      </c>
      <c r="D18" t="s">
        <v>127</v>
      </c>
      <c r="E18" s="160" t="s">
        <v>139</v>
      </c>
      <c r="F18" s="160"/>
      <c r="I18" s="16"/>
      <c r="J18" s="16"/>
      <c r="K18" s="16"/>
      <c r="L18" s="16"/>
      <c r="AB18" s="11"/>
    </row>
    <row r="19" spans="2:28" ht="17.25" x14ac:dyDescent="0.25">
      <c r="B19" s="109" t="s">
        <v>4</v>
      </c>
      <c r="C19" s="121">
        <f>(inputSF*((rainfall)/12)*C17)</f>
        <v>250</v>
      </c>
      <c r="D19" t="s">
        <v>144</v>
      </c>
      <c r="E19" s="93"/>
      <c r="I19" s="16"/>
      <c r="J19" s="16"/>
      <c r="K19" s="16"/>
      <c r="L19" s="16"/>
      <c r="AB19" s="11"/>
    </row>
    <row r="20" spans="2:28" x14ac:dyDescent="0.25">
      <c r="B20" s="55"/>
      <c r="I20" s="16"/>
      <c r="J20" s="16"/>
      <c r="K20" s="16"/>
      <c r="L20" s="16"/>
      <c r="AB20" s="11"/>
    </row>
    <row r="21" spans="2:28" ht="19.5" hidden="1" customHeight="1" x14ac:dyDescent="0.25">
      <c r="B21" t="s">
        <v>126</v>
      </c>
      <c r="C21" s="108" t="s">
        <v>125</v>
      </c>
      <c r="E21" s="4"/>
      <c r="I21" s="16"/>
      <c r="J21" s="16"/>
      <c r="K21" s="16"/>
      <c r="L21" s="16"/>
      <c r="AB21" s="11"/>
    </row>
    <row r="22" spans="2:28" ht="19.5" hidden="1" customHeight="1" x14ac:dyDescent="0.25">
      <c r="B22" t="s">
        <v>27</v>
      </c>
      <c r="C22" s="43">
        <v>40</v>
      </c>
      <c r="D22" t="s">
        <v>28</v>
      </c>
      <c r="E22" s="4"/>
      <c r="I22" s="16"/>
      <c r="J22" s="16"/>
      <c r="K22" s="16"/>
      <c r="L22" s="16"/>
      <c r="AB22" s="11"/>
    </row>
    <row r="23" spans="2:28" hidden="1" x14ac:dyDescent="0.25">
      <c r="B23" t="s">
        <v>63</v>
      </c>
      <c r="C23" s="15">
        <v>2</v>
      </c>
      <c r="D23" t="e">
        <f>IF(Unit="English","inches","mm")</f>
        <v>#REF!</v>
      </c>
      <c r="E23" s="4"/>
      <c r="I23" s="16"/>
      <c r="J23" s="16"/>
      <c r="K23" s="16"/>
      <c r="L23" s="16"/>
      <c r="AB23" s="11"/>
    </row>
    <row r="24" spans="2:28" hidden="1" x14ac:dyDescent="0.25">
      <c r="B24" t="s">
        <v>48</v>
      </c>
      <c r="C24" s="15">
        <v>15</v>
      </c>
      <c r="D24" t="s">
        <v>64</v>
      </c>
      <c r="I24" s="16"/>
      <c r="J24" s="16"/>
      <c r="K24" s="16"/>
      <c r="L24" s="16"/>
      <c r="AB24" s="11"/>
    </row>
    <row r="25" spans="2:28" hidden="1" x14ac:dyDescent="0.25">
      <c r="B25" t="s">
        <v>65</v>
      </c>
      <c r="C25" s="15">
        <v>4</v>
      </c>
      <c r="D25" t="s">
        <v>80</v>
      </c>
      <c r="I25" s="16"/>
      <c r="J25" s="16"/>
      <c r="K25" s="16"/>
      <c r="L25" s="16"/>
      <c r="AB25" s="11"/>
    </row>
    <row r="26" spans="2:28" hidden="1" x14ac:dyDescent="0.25">
      <c r="B26" t="s">
        <v>73</v>
      </c>
      <c r="C26" s="15">
        <v>29</v>
      </c>
      <c r="D26" t="e">
        <f>IF(Unit="English","inches","mm")</f>
        <v>#REF!</v>
      </c>
      <c r="I26" s="16"/>
      <c r="J26" s="16"/>
      <c r="K26" s="16"/>
      <c r="L26" s="16"/>
      <c r="AB26" s="11"/>
    </row>
    <row r="27" spans="2:28" hidden="1" x14ac:dyDescent="0.25">
      <c r="B27" t="s">
        <v>61</v>
      </c>
      <c r="C27" s="15">
        <v>2</v>
      </c>
      <c r="I27" s="16"/>
      <c r="J27" s="16"/>
      <c r="K27" s="16"/>
      <c r="L27" s="16"/>
      <c r="AB27" s="11"/>
    </row>
    <row r="28" spans="2:28" hidden="1" x14ac:dyDescent="0.25">
      <c r="B28" s="54" t="s">
        <v>67</v>
      </c>
      <c r="C28" s="51">
        <f>'Infiltration Data'!C109</f>
        <v>0.26666666666666666</v>
      </c>
      <c r="D28" t="e">
        <f>IF('Infiltration Data'!E5 = TRUE,IF(Unit="English","ft^3/ft^2/Day","mm^3/mm^2/Day"),"")</f>
        <v>#REF!</v>
      </c>
      <c r="I28" s="16"/>
      <c r="J28" s="16"/>
      <c r="K28" s="16"/>
      <c r="L28" s="16"/>
      <c r="AB28" s="11"/>
    </row>
    <row r="29" spans="2:28" x14ac:dyDescent="0.25">
      <c r="I29" s="16"/>
      <c r="J29" s="16"/>
      <c r="K29" s="16"/>
      <c r="L29" s="16"/>
      <c r="AB29" s="11"/>
    </row>
    <row r="30" spans="2:28" ht="30" customHeight="1" x14ac:dyDescent="0.25">
      <c r="B30" s="141" t="s">
        <v>122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3"/>
    </row>
    <row r="31" spans="2:28" ht="15" customHeight="1" x14ac:dyDescent="0.25">
      <c r="E31" s="9"/>
      <c r="G31" s="14"/>
      <c r="H31" s="14"/>
      <c r="I31" s="16"/>
      <c r="J31" s="16"/>
      <c r="K31" s="16"/>
      <c r="L31" s="16"/>
    </row>
    <row r="32" spans="2:28" ht="15" customHeight="1" x14ac:dyDescent="0.25">
      <c r="E32" s="9"/>
      <c r="G32" s="14"/>
      <c r="H32" s="14"/>
      <c r="I32" s="16"/>
      <c r="J32" s="16"/>
      <c r="K32" s="16"/>
      <c r="L32" s="16"/>
    </row>
    <row r="33" spans="5:12" ht="15" customHeight="1" x14ac:dyDescent="0.25">
      <c r="E33" s="9"/>
      <c r="G33" s="14"/>
      <c r="H33" s="14"/>
      <c r="I33" s="16"/>
      <c r="J33" s="16"/>
      <c r="K33" s="16"/>
      <c r="L33" s="16"/>
    </row>
    <row r="34" spans="5:12" ht="15" customHeight="1" x14ac:dyDescent="0.25">
      <c r="E34" s="9"/>
      <c r="G34" s="14"/>
      <c r="H34" s="14"/>
      <c r="I34" s="16"/>
      <c r="J34" s="16"/>
      <c r="K34" s="16"/>
      <c r="L34" s="16"/>
    </row>
    <row r="35" spans="5:12" ht="15" customHeight="1" x14ac:dyDescent="0.25">
      <c r="E35" s="9"/>
      <c r="G35" s="14"/>
      <c r="H35" s="14"/>
      <c r="I35" s="16"/>
      <c r="J35" s="16"/>
      <c r="K35" s="16"/>
      <c r="L35" s="16"/>
    </row>
    <row r="36" spans="5:12" ht="15" customHeight="1" x14ac:dyDescent="0.25">
      <c r="E36" s="9"/>
      <c r="G36" s="14"/>
      <c r="H36" s="14"/>
      <c r="I36" s="16"/>
      <c r="J36" s="16"/>
      <c r="K36" s="16"/>
      <c r="L36" s="16"/>
    </row>
    <row r="37" spans="5:12" ht="15" customHeight="1" x14ac:dyDescent="0.25">
      <c r="E37" s="9"/>
      <c r="G37" s="14"/>
      <c r="H37" s="14"/>
      <c r="I37" s="16"/>
      <c r="J37" s="16"/>
      <c r="K37" s="16"/>
      <c r="L37" s="16"/>
    </row>
    <row r="38" spans="5:12" ht="15" customHeight="1" x14ac:dyDescent="0.25">
      <c r="E38" s="9"/>
      <c r="G38" s="14"/>
      <c r="H38" s="14"/>
      <c r="I38" s="16"/>
      <c r="J38" s="16"/>
      <c r="K38" s="16"/>
      <c r="L38" s="16"/>
    </row>
    <row r="39" spans="5:12" ht="15" customHeight="1" x14ac:dyDescent="0.25">
      <c r="E39" s="9"/>
      <c r="G39" s="14"/>
      <c r="H39" s="14"/>
      <c r="I39" s="16"/>
      <c r="J39" s="16"/>
      <c r="K39" s="16"/>
      <c r="L39" s="16"/>
    </row>
    <row r="40" spans="5:12" ht="15" customHeight="1" x14ac:dyDescent="0.25">
      <c r="E40" s="9"/>
      <c r="G40" s="14"/>
      <c r="H40" s="14"/>
      <c r="I40" s="16"/>
      <c r="J40" s="16"/>
      <c r="K40" s="16"/>
      <c r="L40" s="16"/>
    </row>
    <row r="41" spans="5:12" ht="15" customHeight="1" x14ac:dyDescent="0.25">
      <c r="E41" s="9"/>
      <c r="G41" s="14"/>
      <c r="H41" s="14"/>
      <c r="I41" s="16"/>
      <c r="J41" s="16"/>
      <c r="K41" s="16"/>
      <c r="L41" s="16"/>
    </row>
    <row r="42" spans="5:12" ht="15" customHeight="1" x14ac:dyDescent="0.25">
      <c r="E42" s="9"/>
      <c r="G42" s="14"/>
      <c r="H42" s="14"/>
      <c r="I42" s="16"/>
      <c r="J42" s="16"/>
      <c r="K42" s="16"/>
      <c r="L42" s="16"/>
    </row>
    <row r="43" spans="5:12" ht="15" customHeight="1" x14ac:dyDescent="0.25">
      <c r="E43" s="9"/>
      <c r="G43" s="14"/>
      <c r="H43" s="14"/>
      <c r="I43" s="16"/>
      <c r="J43" s="16"/>
      <c r="K43" s="16"/>
      <c r="L43" s="16"/>
    </row>
    <row r="44" spans="5:12" ht="15" customHeight="1" x14ac:dyDescent="0.25">
      <c r="E44" s="9"/>
      <c r="G44" s="14"/>
      <c r="H44" s="14"/>
      <c r="I44" s="16"/>
      <c r="J44" s="16"/>
      <c r="K44" s="16"/>
      <c r="L44" s="16"/>
    </row>
    <row r="45" spans="5:12" ht="15" customHeight="1" x14ac:dyDescent="0.25">
      <c r="E45" s="9"/>
      <c r="G45" s="14"/>
      <c r="H45" s="14"/>
      <c r="I45" s="16"/>
      <c r="J45" s="16"/>
      <c r="K45" s="16"/>
      <c r="L45" s="16"/>
    </row>
    <row r="46" spans="5:12" ht="15" customHeight="1" x14ac:dyDescent="0.25">
      <c r="E46" s="9"/>
      <c r="G46" s="14"/>
      <c r="H46" s="14"/>
      <c r="I46" s="16"/>
      <c r="J46" s="16"/>
      <c r="K46" s="16"/>
      <c r="L46" s="16"/>
    </row>
    <row r="47" spans="5:12" ht="15" customHeight="1" x14ac:dyDescent="0.25">
      <c r="E47" s="9"/>
      <c r="K47" s="16"/>
      <c r="L47" s="16"/>
    </row>
    <row r="48" spans="5:12" ht="15" customHeight="1" x14ac:dyDescent="0.25">
      <c r="E48" s="9"/>
      <c r="K48" s="16"/>
      <c r="L48" s="16"/>
    </row>
    <row r="49" spans="2:12" ht="15" customHeight="1" x14ac:dyDescent="0.25"/>
    <row r="50" spans="2:12" ht="15" customHeight="1" x14ac:dyDescent="0.25"/>
    <row r="51" spans="2:12" ht="15" customHeight="1" x14ac:dyDescent="0.25"/>
    <row r="52" spans="2:12" ht="1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15" customHeight="1" x14ac:dyDescent="0.25"/>
    <row r="57" spans="2:12" ht="15" customHeight="1" x14ac:dyDescent="0.25">
      <c r="E57" s="9"/>
      <c r="G57" s="14"/>
      <c r="K57" s="16"/>
      <c r="L57" s="16"/>
    </row>
    <row r="58" spans="2:12" ht="15" customHeight="1" x14ac:dyDescent="0.25">
      <c r="E58" s="9"/>
      <c r="G58" s="14"/>
      <c r="K58" s="16"/>
      <c r="L58" s="16"/>
    </row>
    <row r="59" spans="2:12" ht="15" customHeight="1" x14ac:dyDescent="0.25">
      <c r="E59" s="9"/>
      <c r="G59" s="14"/>
      <c r="K59" s="16"/>
      <c r="L59" s="16"/>
    </row>
    <row r="60" spans="2:12" ht="15" customHeight="1" x14ac:dyDescent="0.25">
      <c r="E60" s="9"/>
      <c r="G60" s="14"/>
      <c r="K60" s="16"/>
      <c r="L60" s="16"/>
    </row>
    <row r="61" spans="2:12" ht="15" customHeight="1" x14ac:dyDescent="0.25">
      <c r="E61" s="9"/>
      <c r="G61" s="14"/>
      <c r="K61" s="16"/>
      <c r="L61" s="16"/>
    </row>
    <row r="62" spans="2:12" ht="15" customHeight="1" x14ac:dyDescent="0.25">
      <c r="E62" s="9"/>
      <c r="G62" s="14"/>
      <c r="K62" s="16"/>
      <c r="L62" s="16"/>
    </row>
    <row r="63" spans="2:12" ht="15" customHeight="1" x14ac:dyDescent="0.25">
      <c r="E63" s="9"/>
      <c r="G63" s="14"/>
      <c r="K63" s="16"/>
      <c r="L63" s="16"/>
    </row>
    <row r="64" spans="2:12" ht="15" customHeight="1" x14ac:dyDescent="0.25">
      <c r="B64" s="54"/>
      <c r="E64" s="9"/>
      <c r="G64" s="14"/>
      <c r="K64" s="16"/>
      <c r="L64" s="16"/>
    </row>
    <row r="65" spans="2:12" ht="15" customHeight="1" x14ac:dyDescent="0.25">
      <c r="B65" s="54"/>
      <c r="E65" s="9"/>
      <c r="G65" s="14"/>
      <c r="K65" s="16"/>
      <c r="L65" s="16"/>
    </row>
    <row r="66" spans="2:12" ht="15" customHeight="1" x14ac:dyDescent="0.25">
      <c r="B66" s="54"/>
      <c r="E66" s="9"/>
      <c r="G66" s="14"/>
      <c r="K66" s="16"/>
      <c r="L66" s="16"/>
    </row>
    <row r="67" spans="2:12" ht="15" customHeight="1" x14ac:dyDescent="0.25">
      <c r="B67" s="54"/>
      <c r="E67" s="9"/>
      <c r="G67" s="14"/>
      <c r="K67" s="16"/>
      <c r="L67" s="16"/>
    </row>
    <row r="68" spans="2:12" ht="15" customHeight="1" x14ac:dyDescent="0.25">
      <c r="B68" s="54"/>
      <c r="E68" s="9"/>
      <c r="G68" s="14"/>
      <c r="K68" s="16"/>
      <c r="L68" s="16"/>
    </row>
    <row r="69" spans="2:12" ht="15" customHeight="1" x14ac:dyDescent="0.25">
      <c r="B69" s="54"/>
      <c r="E69" s="9"/>
      <c r="G69" s="14"/>
      <c r="K69" s="16"/>
      <c r="L69" s="16"/>
    </row>
    <row r="70" spans="2:12" x14ac:dyDescent="0.25">
      <c r="I70" s="3"/>
    </row>
    <row r="71" spans="2:12" ht="15" customHeight="1" x14ac:dyDescent="0.25">
      <c r="F71" s="3"/>
      <c r="G71" s="3"/>
      <c r="H71" s="3"/>
      <c r="I71" s="3"/>
      <c r="J71" s="3"/>
      <c r="K71" s="3"/>
      <c r="L71" s="3"/>
    </row>
    <row r="72" spans="2:12" x14ac:dyDescent="0.25">
      <c r="F72" s="3"/>
      <c r="G72" s="3"/>
      <c r="H72" s="3"/>
      <c r="I72" s="3"/>
      <c r="J72" s="3"/>
      <c r="K72" s="3"/>
      <c r="L72" s="3"/>
    </row>
    <row r="73" spans="2:12" ht="15.95" customHeight="1" x14ac:dyDescent="0.25"/>
    <row r="74" spans="2:12" ht="15.95" customHeight="1" x14ac:dyDescent="0.25"/>
    <row r="75" spans="2:12" s="6" customFormat="1" ht="30" customHeight="1" x14ac:dyDescent="0.2">
      <c r="B75" s="141" t="s">
        <v>135</v>
      </c>
      <c r="C75" s="142"/>
      <c r="D75" s="142"/>
      <c r="E75" s="142"/>
      <c r="F75" s="142"/>
      <c r="G75" s="142"/>
      <c r="H75" s="142"/>
      <c r="I75" s="142"/>
      <c r="J75" s="142"/>
      <c r="K75" s="142"/>
      <c r="L75" s="143"/>
    </row>
    <row r="76" spans="2:12" ht="21" customHeight="1" x14ac:dyDescent="0.25">
      <c r="B76" s="74"/>
      <c r="C76" s="75"/>
      <c r="D76" s="76"/>
      <c r="E76" s="76"/>
    </row>
    <row r="77" spans="2:12" ht="21" customHeight="1" x14ac:dyDescent="0.25">
      <c r="B77" s="109" t="s">
        <v>4</v>
      </c>
      <c r="C77" s="121">
        <f>storagereq</f>
        <v>250</v>
      </c>
      <c r="D77" t="s">
        <v>144</v>
      </c>
    </row>
    <row r="78" spans="2:12" ht="15.95" customHeight="1" thickBot="1" x14ac:dyDescent="0.3"/>
    <row r="79" spans="2:12" ht="38.25" customHeight="1" x14ac:dyDescent="0.25">
      <c r="B79" s="110" t="s">
        <v>114</v>
      </c>
      <c r="C79" s="144" t="s">
        <v>113</v>
      </c>
      <c r="D79" s="145"/>
      <c r="E79" s="146"/>
      <c r="F79" s="144" t="s">
        <v>129</v>
      </c>
      <c r="G79" s="145"/>
      <c r="H79" s="146"/>
      <c r="I79" s="144" t="s">
        <v>5</v>
      </c>
      <c r="J79" s="145"/>
      <c r="K79" s="146"/>
      <c r="L79" s="116" t="s">
        <v>133</v>
      </c>
    </row>
    <row r="80" spans="2:12" ht="24" customHeight="1" thickBot="1" x14ac:dyDescent="0.3">
      <c r="B80" s="111" t="s">
        <v>140</v>
      </c>
      <c r="C80" s="129" t="s">
        <v>7</v>
      </c>
      <c r="D80" s="130"/>
      <c r="E80" s="131"/>
      <c r="F80" s="129" t="s">
        <v>137</v>
      </c>
      <c r="G80" s="130"/>
      <c r="H80" s="131"/>
      <c r="I80" s="129" t="s">
        <v>137</v>
      </c>
      <c r="J80" s="130"/>
      <c r="K80" s="131"/>
      <c r="L80" s="119" t="s">
        <v>138</v>
      </c>
    </row>
    <row r="81" spans="2:12" ht="24.95" customHeight="1" x14ac:dyDescent="0.25">
      <c r="B81" s="112" t="s">
        <v>10</v>
      </c>
      <c r="C81" s="132">
        <f>ROUNDUP((storagereq/F81),0)</f>
        <v>8</v>
      </c>
      <c r="D81" s="133"/>
      <c r="E81" s="134"/>
      <c r="F81" s="154">
        <f>Data!B7</f>
        <v>32</v>
      </c>
      <c r="G81" s="155"/>
      <c r="H81" s="156"/>
      <c r="I81" s="132">
        <f>F81*C81</f>
        <v>256</v>
      </c>
      <c r="J81" s="133"/>
      <c r="K81" s="134"/>
      <c r="L81" s="117">
        <f>C81*Data!B8</f>
        <v>240</v>
      </c>
    </row>
    <row r="82" spans="2:12" ht="15" customHeight="1" x14ac:dyDescent="0.25">
      <c r="B82" s="120" t="s">
        <v>141</v>
      </c>
      <c r="C82" s="122"/>
      <c r="D82" s="123"/>
      <c r="E82" s="124"/>
      <c r="F82" s="125"/>
      <c r="G82" s="126"/>
      <c r="H82" s="127"/>
      <c r="I82" s="122"/>
      <c r="J82" s="123"/>
      <c r="K82" s="124"/>
      <c r="L82" s="128"/>
    </row>
    <row r="83" spans="2:12" ht="24.95" customHeight="1" x14ac:dyDescent="0.25">
      <c r="B83" s="113" t="s">
        <v>12</v>
      </c>
      <c r="C83" s="135">
        <f>ROUNDUP((storagereq/F83),0)</f>
        <v>7</v>
      </c>
      <c r="D83" s="136"/>
      <c r="E83" s="137"/>
      <c r="F83" s="151">
        <f>Data!C7</f>
        <v>40</v>
      </c>
      <c r="G83" s="152"/>
      <c r="H83" s="153"/>
      <c r="I83" s="147">
        <f>F83*C83</f>
        <v>280</v>
      </c>
      <c r="J83" s="137"/>
      <c r="K83" s="137"/>
      <c r="L83" s="115">
        <f>C83*Data!C8</f>
        <v>175</v>
      </c>
    </row>
    <row r="84" spans="2:12" ht="15" customHeight="1" x14ac:dyDescent="0.25">
      <c r="B84" s="120" t="s">
        <v>141</v>
      </c>
      <c r="C84" s="122"/>
      <c r="D84" s="123"/>
      <c r="E84" s="124"/>
      <c r="F84" s="125"/>
      <c r="G84" s="126"/>
      <c r="H84" s="127"/>
      <c r="I84" s="122"/>
      <c r="J84" s="123"/>
      <c r="K84" s="124"/>
      <c r="L84" s="128"/>
    </row>
    <row r="85" spans="2:12" ht="24.95" customHeight="1" thickBot="1" x14ac:dyDescent="0.3">
      <c r="B85" s="114" t="s">
        <v>14</v>
      </c>
      <c r="C85" s="138">
        <f>ROUNDUP((storagereq/F85),0)</f>
        <v>3</v>
      </c>
      <c r="D85" s="139"/>
      <c r="E85" s="140"/>
      <c r="F85" s="148">
        <f>Data!D7</f>
        <v>84</v>
      </c>
      <c r="G85" s="149"/>
      <c r="H85" s="150"/>
      <c r="I85" s="138">
        <f>F85*C85</f>
        <v>252</v>
      </c>
      <c r="J85" s="139"/>
      <c r="K85" s="140"/>
      <c r="L85" s="118">
        <f>C85*Data!D8</f>
        <v>111</v>
      </c>
    </row>
    <row r="86" spans="2:12" x14ac:dyDescent="0.25">
      <c r="B86" s="6"/>
      <c r="C86" s="2"/>
      <c r="D86" s="2"/>
      <c r="E86" s="2"/>
      <c r="F86" s="2"/>
    </row>
    <row r="87" spans="2:12" x14ac:dyDescent="0.25">
      <c r="B87" s="6"/>
      <c r="C87" s="2"/>
      <c r="D87" s="2"/>
      <c r="E87" s="2"/>
      <c r="F87" s="2"/>
    </row>
    <row r="88" spans="2:12" x14ac:dyDescent="0.25">
      <c r="B88" s="5" t="s">
        <v>0</v>
      </c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2:12" x14ac:dyDescent="0.25">
      <c r="B89" s="44" t="s">
        <v>145</v>
      </c>
      <c r="C89" s="44"/>
      <c r="D89" s="44"/>
      <c r="E89" s="44"/>
      <c r="F89" s="44"/>
      <c r="G89" s="44"/>
      <c r="H89" s="44"/>
      <c r="I89" s="44"/>
      <c r="J89" s="44"/>
    </row>
    <row r="90" spans="2:12" x14ac:dyDescent="0.25">
      <c r="B90" s="185" t="s">
        <v>146</v>
      </c>
      <c r="C90" s="44"/>
      <c r="D90" s="44"/>
      <c r="E90" s="44"/>
      <c r="F90" s="44"/>
      <c r="G90" s="44"/>
      <c r="H90" s="44"/>
      <c r="I90" s="44"/>
      <c r="J90" s="44"/>
    </row>
    <row r="91" spans="2:12" x14ac:dyDescent="0.25">
      <c r="B91" s="44" t="s">
        <v>30</v>
      </c>
      <c r="C91" s="44"/>
      <c r="D91" s="44"/>
      <c r="E91" s="44"/>
      <c r="F91" s="44"/>
      <c r="G91" s="44"/>
      <c r="H91" s="44"/>
      <c r="I91" s="44"/>
      <c r="J91" s="44"/>
    </row>
    <row r="92" spans="2:12" x14ac:dyDescent="0.25">
      <c r="B92" s="44" t="s">
        <v>31</v>
      </c>
      <c r="C92" s="44"/>
      <c r="D92" s="44"/>
      <c r="E92" s="44"/>
      <c r="F92" s="44"/>
      <c r="G92" s="44"/>
      <c r="H92" s="44"/>
      <c r="I92" s="44"/>
      <c r="J92" s="44"/>
    </row>
    <row r="93" spans="2:12" x14ac:dyDescent="0.25">
      <c r="B93" s="45" t="s">
        <v>32</v>
      </c>
      <c r="C93" s="44"/>
      <c r="D93" s="44"/>
      <c r="E93" s="44"/>
      <c r="F93" s="44"/>
      <c r="G93" s="44"/>
      <c r="H93" s="44"/>
      <c r="I93" s="44"/>
      <c r="J93" s="44"/>
    </row>
    <row r="94" spans="2:12" x14ac:dyDescent="0.25">
      <c r="B94" s="44" t="s">
        <v>33</v>
      </c>
      <c r="C94" s="44"/>
      <c r="D94" s="44"/>
      <c r="E94" s="44"/>
      <c r="F94" s="44"/>
      <c r="G94" s="44"/>
      <c r="H94" s="44"/>
      <c r="I94" s="44"/>
      <c r="J94" s="44"/>
    </row>
    <row r="95" spans="2:12" x14ac:dyDescent="0.25">
      <c r="B95" s="44" t="s">
        <v>34</v>
      </c>
      <c r="C95" s="44"/>
      <c r="D95" s="44"/>
      <c r="E95" s="44"/>
      <c r="F95" s="44"/>
      <c r="G95" s="44"/>
      <c r="H95" s="44"/>
      <c r="I95" s="44"/>
      <c r="J95" s="44"/>
    </row>
    <row r="96" spans="2:12" x14ac:dyDescent="0.25">
      <c r="B96" s="44" t="s">
        <v>35</v>
      </c>
      <c r="C96" s="44"/>
      <c r="D96" s="44"/>
      <c r="E96" s="44"/>
      <c r="F96" s="44"/>
      <c r="G96" s="44"/>
      <c r="H96" s="44"/>
      <c r="I96" s="44"/>
      <c r="J96" s="44"/>
    </row>
    <row r="97" spans="2:10" x14ac:dyDescent="0.25">
      <c r="B97" s="44" t="s">
        <v>123</v>
      </c>
      <c r="C97" s="44"/>
      <c r="D97" s="44"/>
      <c r="E97" s="44"/>
      <c r="F97" s="44"/>
      <c r="G97" s="44"/>
      <c r="H97" s="44"/>
      <c r="I97" s="44"/>
      <c r="J97" s="44"/>
    </row>
    <row r="98" spans="2:10" x14ac:dyDescent="0.25">
      <c r="B98" s="44" t="s">
        <v>36</v>
      </c>
      <c r="C98" s="44"/>
      <c r="D98" s="44"/>
      <c r="E98" s="44"/>
      <c r="F98" s="44"/>
      <c r="G98" s="44"/>
      <c r="H98" s="44"/>
      <c r="I98" s="44"/>
      <c r="J98" s="44"/>
    </row>
    <row r="99" spans="2:10" x14ac:dyDescent="0.25">
      <c r="B99" s="44" t="s">
        <v>37</v>
      </c>
      <c r="C99" s="44"/>
      <c r="D99" s="44"/>
      <c r="E99" s="44"/>
      <c r="F99" s="44"/>
      <c r="G99" s="44"/>
      <c r="H99" s="44"/>
      <c r="I99" s="44"/>
      <c r="J99" s="44"/>
    </row>
    <row r="100" spans="2:10" x14ac:dyDescent="0.25">
      <c r="B100" s="44" t="s">
        <v>148</v>
      </c>
      <c r="C100" s="44"/>
      <c r="D100" s="44"/>
      <c r="E100" s="44"/>
      <c r="F100" s="44"/>
      <c r="G100" s="44"/>
      <c r="H100" s="44"/>
      <c r="I100" s="44"/>
      <c r="J100" s="44"/>
    </row>
    <row r="101" spans="2:10" x14ac:dyDescent="0.25">
      <c r="B101" s="185" t="s">
        <v>147</v>
      </c>
      <c r="C101" s="44"/>
      <c r="D101" s="44"/>
      <c r="E101" s="44"/>
      <c r="F101" s="44"/>
      <c r="G101" s="44"/>
      <c r="H101" s="44"/>
      <c r="I101" s="44"/>
      <c r="J101" s="44"/>
    </row>
    <row r="102" spans="2:10" x14ac:dyDescent="0.25">
      <c r="B102" s="44" t="s">
        <v>121</v>
      </c>
      <c r="C102" s="44"/>
      <c r="D102" s="44"/>
      <c r="E102" s="44"/>
      <c r="F102" s="44"/>
      <c r="G102" s="44"/>
      <c r="H102" s="44"/>
      <c r="I102" s="44"/>
      <c r="J102" s="44"/>
    </row>
  </sheetData>
  <sheetProtection algorithmName="SHA-512" hashValue="XtfwEXQ+WzIgCD9JTPCRID7+QMpvzQ9CqHjOBwGe/pUSEmvv1co0V3Cg1oiYCtQh3VyE4WWATZ5ALHqTlI8blQ==" saltValue="dH3ZBjL+X1XP192sYBkkng==" spinCount="100000" sheet="1" objects="1" scenarios="1"/>
  <dataConsolidate/>
  <mergeCells count="24">
    <mergeCell ref="C79:E79"/>
    <mergeCell ref="C6:G6"/>
    <mergeCell ref="C7:G7"/>
    <mergeCell ref="A1:L1"/>
    <mergeCell ref="B14:L14"/>
    <mergeCell ref="C4:G4"/>
    <mergeCell ref="C5:G5"/>
    <mergeCell ref="E18:F18"/>
    <mergeCell ref="C80:E80"/>
    <mergeCell ref="C81:E81"/>
    <mergeCell ref="C83:E83"/>
    <mergeCell ref="C85:E85"/>
    <mergeCell ref="B30:L30"/>
    <mergeCell ref="F79:H79"/>
    <mergeCell ref="F80:H80"/>
    <mergeCell ref="B75:L75"/>
    <mergeCell ref="I85:K85"/>
    <mergeCell ref="I83:K83"/>
    <mergeCell ref="I80:K80"/>
    <mergeCell ref="I81:K81"/>
    <mergeCell ref="F85:H85"/>
    <mergeCell ref="F83:H83"/>
    <mergeCell ref="F81:H81"/>
    <mergeCell ref="I79:K79"/>
  </mergeCells>
  <conditionalFormatting sqref="E18 G18">
    <cfRule type="expression" dxfId="6" priority="39">
      <formula>(#REF!="Typical Stone")</formula>
    </cfRule>
  </conditionalFormatting>
  <conditionalFormatting sqref="E18">
    <cfRule type="expression" dxfId="5" priority="34">
      <formula>#REF!="Sides Only"</formula>
    </cfRule>
  </conditionalFormatting>
  <conditionalFormatting sqref="E76">
    <cfRule type="expression" dxfId="4" priority="41">
      <formula>ABS(#REF!-$C$19)=MIN(ABS($E$73:$E$76-$C$19))</formula>
    </cfRule>
  </conditionalFormatting>
  <conditionalFormatting sqref="I81:I84 L81:L84">
    <cfRule type="expression" dxfId="3" priority="32">
      <formula>ABS(#REF!-$C$19)=MIN(ABS($E$73:$E$76-$C$19))</formula>
    </cfRule>
  </conditionalFormatting>
  <conditionalFormatting sqref="I85 L85">
    <cfRule type="expression" dxfId="2" priority="4">
      <formula>ABS(#REF!-$C$19)=MIN(ABS($E$73:$E$76-$C$19))</formula>
    </cfRule>
  </conditionalFormatting>
  <dataValidations disablePrompts="1" count="2">
    <dataValidation type="list" allowBlank="1" showInputMessage="1" showErrorMessage="1" sqref="J3:L3" xr:uid="{00000000-0002-0000-0000-000001000000}">
      <formula1>"Alicia Messina, Dan Gera, Gordon Johnson, Yesika Peña, Tyler Brush, Julie Meehan"</formula1>
    </dataValidation>
    <dataValidation type="list" allowBlank="1" showInputMessage="1" showErrorMessage="1" sqref="C21" xr:uid="{40E01B85-2EA0-4689-8C30-844FB8DEB238}">
      <formula1>"YES, NO"</formula1>
    </dataValidation>
  </dataValidations>
  <hyperlinks>
    <hyperlink ref="B88" r:id="rId1" display="Click for more information on residential drainage. " xr:uid="{00000000-0004-0000-0000-000000000000}"/>
    <hyperlink ref="E18" r:id="rId2" xr:uid="{6BF9E505-622C-44BD-A879-EDC75376089E}"/>
    <hyperlink ref="B90" r:id="rId3" xr:uid="{277FF47C-0327-4AF5-8FD8-8DD3B7BA49BC}"/>
    <hyperlink ref="B101" r:id="rId4" xr:uid="{B4FAC417-21D9-4E39-A5BD-7A0595BC9FCD}"/>
  </hyperlinks>
  <printOptions horizontalCentered="1"/>
  <pageMargins left="0.25" right="0.25" top="0.75" bottom="0.75" header="0.3" footer="0.3"/>
  <pageSetup scale="41" orientation="portrait" r:id="rId5"/>
  <headerFooter>
    <oddFooter>&amp;LCULTEC
878 Federal Road
Brookfield, CT 06804&amp;CPhone: 203-775-4416  
Fax: 203-775-1462
www.cultec.com&amp;RCULTEC Residential System Calculator v.082024</oddFooter>
  </headerFooter>
  <drawing r:id="rId6"/>
  <legacy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00000000-000E-0000-0000-000004000000}">
            <xm:f>('Infiltration Data'!$E$5=TRUE)</xm:f>
            <x14:dxf>
              <fill>
                <patternFill>
                  <bgColor theme="3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C23:C27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71AA9-9959-45BF-AE53-2C60B2370340}">
  <sheetPr codeName="Sheet2"/>
  <dimension ref="B2:O109"/>
  <sheetViews>
    <sheetView topLeftCell="A68" workbookViewId="0">
      <selection activeCell="C109" sqref="C109"/>
    </sheetView>
  </sheetViews>
  <sheetFormatPr defaultRowHeight="15" x14ac:dyDescent="0.25"/>
  <cols>
    <col min="3" max="3" width="28.42578125" customWidth="1"/>
  </cols>
  <sheetData>
    <row r="2" spans="2:15" x14ac:dyDescent="0.25">
      <c r="E2" s="161"/>
      <c r="F2" s="162"/>
    </row>
    <row r="3" spans="2:15" x14ac:dyDescent="0.25">
      <c r="E3" s="163"/>
      <c r="F3" s="164"/>
    </row>
    <row r="4" spans="2:15" x14ac:dyDescent="0.25">
      <c r="E4" s="161" t="s">
        <v>8</v>
      </c>
      <c r="F4" s="162"/>
    </row>
    <row r="5" spans="2:15" x14ac:dyDescent="0.25">
      <c r="E5" s="163" t="b">
        <v>1</v>
      </c>
      <c r="F5" s="164"/>
    </row>
    <row r="6" spans="2:15" ht="15.75" thickBot="1" x14ac:dyDescent="0.3"/>
    <row r="7" spans="2:15" ht="26.25" x14ac:dyDescent="0.25">
      <c r="B7" s="169" t="s">
        <v>23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56"/>
      <c r="N7" s="58"/>
    </row>
    <row r="8" spans="2:15" ht="27" thickBot="1" x14ac:dyDescent="0.3">
      <c r="B8" s="171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57"/>
      <c r="N8" s="59"/>
    </row>
    <row r="9" spans="2:15" ht="24" x14ac:dyDescent="0.25">
      <c r="B9" s="8"/>
      <c r="C9" s="3"/>
      <c r="D9" s="34" t="s">
        <v>39</v>
      </c>
      <c r="E9" s="35" t="s">
        <v>1</v>
      </c>
      <c r="F9" s="36" t="s">
        <v>3</v>
      </c>
      <c r="G9" s="35" t="s">
        <v>2</v>
      </c>
      <c r="H9" s="35" t="s">
        <v>16</v>
      </c>
      <c r="I9" s="35" t="s">
        <v>17</v>
      </c>
      <c r="J9" s="35" t="s">
        <v>83</v>
      </c>
      <c r="K9" s="35" t="s">
        <v>82</v>
      </c>
      <c r="L9" s="35" t="s">
        <v>86</v>
      </c>
      <c r="M9" s="35" t="s">
        <v>87</v>
      </c>
      <c r="N9" s="35" t="s">
        <v>88</v>
      </c>
      <c r="O9" s="3"/>
    </row>
    <row r="10" spans="2:15" x14ac:dyDescent="0.25">
      <c r="B10" s="37"/>
      <c r="C10" s="37"/>
      <c r="D10" s="7" t="s">
        <v>25</v>
      </c>
      <c r="E10" s="7" t="s">
        <v>25</v>
      </c>
      <c r="F10" s="7" t="s">
        <v>25</v>
      </c>
      <c r="G10" s="7" t="s">
        <v>25</v>
      </c>
      <c r="H10" s="7"/>
      <c r="I10" s="7"/>
      <c r="J10" s="7"/>
      <c r="K10" s="7"/>
      <c r="L10" s="7"/>
      <c r="M10" s="7"/>
      <c r="N10" s="7" t="s">
        <v>25</v>
      </c>
      <c r="O10" s="3"/>
    </row>
    <row r="11" spans="2:15" x14ac:dyDescent="0.25">
      <c r="B11" s="38" t="s">
        <v>10</v>
      </c>
      <c r="C11" s="38"/>
      <c r="D11" s="33">
        <f>Data!$B$3*Data!$B$4*('Infiltration Data'!$C$93)</f>
        <v>6.4</v>
      </c>
      <c r="E11" s="26">
        <f>Data!B6</f>
        <v>14</v>
      </c>
      <c r="F11" s="26" t="e">
        <f>(((Data!B3*(Data!B4+(2*(Border_Thickness/12))*Data!B5)-'Infiltration Data'!E11)*(stone_porosity/100)))+'Infiltration Data'!E11</f>
        <v>#VALUE!</v>
      </c>
      <c r="G11" s="33" t="e">
        <f t="shared" ref="G11:G16" si="0">((L11-E11)*(stone_porosity/100))+E11</f>
        <v>#VALUE!</v>
      </c>
      <c r="H11" s="26" t="e">
        <f>Data!B3+(2*(Border_Thickness/12))</f>
        <v>#VALUE!</v>
      </c>
      <c r="I11" s="26" t="e">
        <f>Data!B4+(2*(Border_Thickness/12))</f>
        <v>#VALUE!</v>
      </c>
      <c r="J11" s="26">
        <f>Data!B5+(Stone_Above/12)+(Stone_Base/12)</f>
        <v>1.0416666666666667</v>
      </c>
      <c r="K11" s="26" t="e">
        <f t="shared" ref="K11:K17" si="1">H11*I11</f>
        <v>#VALUE!</v>
      </c>
      <c r="L11" s="26" t="e">
        <f t="shared" ref="L11:L17" si="2">K11*J11</f>
        <v>#VALUE!</v>
      </c>
      <c r="M11" s="26"/>
      <c r="N11" s="26" t="e">
        <f>D11+G11</f>
        <v>#VALUE!</v>
      </c>
    </row>
    <row r="12" spans="2:15" x14ac:dyDescent="0.25">
      <c r="B12" s="38" t="s">
        <v>11</v>
      </c>
      <c r="C12" s="38"/>
      <c r="D12" s="33" t="e">
        <f>Data!#REF!*Data!#REF!*('Infiltration Data'!$C$93)</f>
        <v>#REF!</v>
      </c>
      <c r="E12" s="26" t="e">
        <f>Data!#REF!</f>
        <v>#REF!</v>
      </c>
      <c r="F12" s="26" t="e">
        <f>(((Data!#REF!*(Data!#REF!+(2*(Border_Thickness/12))*Data!#REF!)-'Infiltration Data'!E12)*(stone_porosity/100)))+'Infiltration Data'!E12</f>
        <v>#REF!</v>
      </c>
      <c r="G12" s="33" t="e">
        <f t="shared" si="0"/>
        <v>#REF!</v>
      </c>
      <c r="H12" s="26" t="e">
        <f>Data!#REF!+(2*(Border_Thickness/12))</f>
        <v>#REF!</v>
      </c>
      <c r="I12" s="26" t="e">
        <f>Data!#REF!+(2*(Border_Thickness/12))</f>
        <v>#REF!</v>
      </c>
      <c r="J12" s="26" t="e">
        <f>Data!#REF!+(Stone_Above/12)+(Stone_Base/12)</f>
        <v>#REF!</v>
      </c>
      <c r="K12" s="26" t="e">
        <f t="shared" si="1"/>
        <v>#REF!</v>
      </c>
      <c r="L12" s="26" t="e">
        <f t="shared" si="2"/>
        <v>#REF!</v>
      </c>
      <c r="M12" s="26"/>
      <c r="N12" s="26" t="e">
        <f>D12+G12</f>
        <v>#REF!</v>
      </c>
    </row>
    <row r="13" spans="2:15" x14ac:dyDescent="0.25">
      <c r="B13" s="38" t="s">
        <v>12</v>
      </c>
      <c r="C13" s="38"/>
      <c r="D13" s="33">
        <f>Data!$C$3*Data!$C$4*('Infiltration Data'!$C$93)</f>
        <v>5.8640000000000008</v>
      </c>
      <c r="E13" s="26">
        <f>Data!C6</f>
        <v>21.81</v>
      </c>
      <c r="F13" s="26" t="e">
        <f>(((Data!C3*(Data!C4+(2*(Border_Thickness/12))*Data!C5)-'Infiltration Data'!E13)*(stone_porosity/100)))+'Infiltration Data'!E13</f>
        <v>#VALUE!</v>
      </c>
      <c r="G13" s="33" t="e">
        <f t="shared" si="0"/>
        <v>#VALUE!</v>
      </c>
      <c r="H13" s="26" t="e">
        <f>Data!C3+(2*(Border_Thickness/12))</f>
        <v>#VALUE!</v>
      </c>
      <c r="I13" s="26" t="e">
        <f>Data!C4+(2*(Border_Thickness/12))</f>
        <v>#VALUE!</v>
      </c>
      <c r="J13" s="26">
        <f>Data!C5+(Stone_Above/12)+(Stone_Base/12)</f>
        <v>1.7083333333333333</v>
      </c>
      <c r="K13" s="26" t="e">
        <f t="shared" si="1"/>
        <v>#VALUE!</v>
      </c>
      <c r="L13" s="26" t="e">
        <f t="shared" si="2"/>
        <v>#VALUE!</v>
      </c>
      <c r="M13" s="26"/>
      <c r="N13" s="26" t="e">
        <f>D13+G13</f>
        <v>#VALUE!</v>
      </c>
    </row>
    <row r="14" spans="2:15" x14ac:dyDescent="0.25">
      <c r="B14" s="38" t="s">
        <v>13</v>
      </c>
      <c r="C14" s="38"/>
      <c r="D14" s="33" t="e">
        <f>Data!#REF!*Data!#REF!*('Infiltration Data'!$C$93)</f>
        <v>#REF!</v>
      </c>
      <c r="E14" s="26" t="e">
        <f>Data!#REF!</f>
        <v>#REF!</v>
      </c>
      <c r="F14" s="26" t="e">
        <f>(((Data!#REF!*(Data!#REF!+(2*(Border_Thickness/12))*Data!#REF!)-'Infiltration Data'!E14)*(stone_porosity/100)))+'Infiltration Data'!E14</f>
        <v>#REF!</v>
      </c>
      <c r="G14" s="33" t="e">
        <f t="shared" si="0"/>
        <v>#REF!</v>
      </c>
      <c r="H14" s="26" t="e">
        <f>Data!#REF!+(2*(Border_Thickness/12))</f>
        <v>#REF!</v>
      </c>
      <c r="I14" s="26" t="e">
        <f>Data!#REF!+(2*(Border_Thickness/12))</f>
        <v>#REF!</v>
      </c>
      <c r="J14" s="26" t="e">
        <f>Data!#REF!+(Stone_Above/12)+(Stone_Base/12)</f>
        <v>#REF!</v>
      </c>
      <c r="K14" s="26" t="e">
        <f t="shared" si="1"/>
        <v>#REF!</v>
      </c>
      <c r="L14" s="26" t="e">
        <f t="shared" si="2"/>
        <v>#REF!</v>
      </c>
      <c r="M14" s="26"/>
      <c r="N14" s="26" t="e">
        <f>D14+G14</f>
        <v>#REF!</v>
      </c>
    </row>
    <row r="15" spans="2:15" x14ac:dyDescent="0.25">
      <c r="B15" s="38" t="s">
        <v>14</v>
      </c>
      <c r="C15" s="38"/>
      <c r="D15" s="33">
        <f>Data!$D$3*Data!$D$4*('Infiltration Data'!$C$93)</f>
        <v>9.8222222222222211</v>
      </c>
      <c r="E15" s="26">
        <f>Data!D6</f>
        <v>52.21</v>
      </c>
      <c r="F15" s="26" t="e">
        <f>((Data!D3+(2*(Border_Thickness/12)))*(Data!D4+(2*(Border_Thickness/12))))*Data!D5</f>
        <v>#VALUE!</v>
      </c>
      <c r="G15" s="33" t="e">
        <f t="shared" si="0"/>
        <v>#VALUE!</v>
      </c>
      <c r="H15" s="26" t="e">
        <f>Data!D3+(2*(Border_Thickness/12))</f>
        <v>#VALUE!</v>
      </c>
      <c r="I15" s="33" t="e">
        <f>Data!D4+(2*(Border_Thickness/12))</f>
        <v>#VALUE!</v>
      </c>
      <c r="J15" s="33">
        <f>Data!D5+(Stone_Above/12)+(Stone_Base/12)</f>
        <v>2.5416666666666665</v>
      </c>
      <c r="K15" s="26" t="e">
        <f t="shared" si="1"/>
        <v>#VALUE!</v>
      </c>
      <c r="L15" s="26" t="e">
        <f t="shared" si="2"/>
        <v>#VALUE!</v>
      </c>
      <c r="M15" s="26"/>
      <c r="N15" s="26" t="e">
        <f>D15+G15</f>
        <v>#VALUE!</v>
      </c>
    </row>
    <row r="16" spans="2:15" ht="26.25" x14ac:dyDescent="0.25">
      <c r="B16" s="39" t="s">
        <v>38</v>
      </c>
      <c r="C16" s="29"/>
      <c r="D16" s="33"/>
      <c r="E16" s="33" t="e">
        <f>Data!#REF!</f>
        <v>#REF!</v>
      </c>
      <c r="F16" s="33" t="e">
        <f>((L16-(K16*Stone_Base)-(K16*Stone_Above)-E16))*(stone_porosity/100)+E16</f>
        <v>#REF!</v>
      </c>
      <c r="G16" s="33" t="e">
        <f t="shared" si="0"/>
        <v>#REF!</v>
      </c>
      <c r="H16" s="33" t="e">
        <f>Data!#REF!+(2*(Border_Thickness/12))</f>
        <v>#REF!</v>
      </c>
      <c r="I16" s="33" t="e">
        <f>Data!#REF!+(2*(Border_Thickness/12))</f>
        <v>#REF!</v>
      </c>
      <c r="J16" s="33" t="e">
        <f>Data!#REF!+(Stone_Above/12)+(Stone_Base/12)</f>
        <v>#REF!</v>
      </c>
      <c r="K16" s="26" t="e">
        <f t="shared" si="1"/>
        <v>#REF!</v>
      </c>
      <c r="L16" s="26" t="e">
        <f t="shared" si="2"/>
        <v>#REF!</v>
      </c>
      <c r="M16" s="26"/>
      <c r="N16" s="33"/>
    </row>
    <row r="17" spans="2:15" x14ac:dyDescent="0.25">
      <c r="B17" s="38" t="s">
        <v>15</v>
      </c>
      <c r="C17" s="38"/>
      <c r="D17" s="33" t="e">
        <f>Data!#REF!*Data!#REF!*('Infiltration Data'!$C$93)</f>
        <v>#REF!</v>
      </c>
      <c r="E17" s="26" t="e">
        <f>Data!#REF!</f>
        <v>#REF!</v>
      </c>
      <c r="F17" s="26" t="e">
        <f>(((Data!#REF!*(Data!#REF!+(2*(Border_Thickness/12))*Data!#REF!)-'Infiltration Data'!E17)*(stone_porosity/100)))+'Infiltration Data'!E17</f>
        <v>#REF!</v>
      </c>
      <c r="G17" s="33" t="e">
        <f>(((Data!#REF!*(Data!#REF!+(2*(Border_Thickness/12))*(Data!#REF!+'Residential Drainage Calculator'!F18/12+'Residential Drainage Calculator'!G18/12))-'Infiltration Data'!E17)*(stone_porosity/100)))+'Infiltration Data'!E17</f>
        <v>#REF!</v>
      </c>
      <c r="H17" s="26" t="e">
        <f>Data!#REF!+(2*(Border_Thickness/12))</f>
        <v>#REF!</v>
      </c>
      <c r="I17" s="33" t="e">
        <f>Data!#REF!+(2*(Border_Thickness/12))</f>
        <v>#REF!</v>
      </c>
      <c r="J17" s="33" t="e">
        <f>Data!#REF!+(Stone_Above/12)+(Stone_Base/12)</f>
        <v>#REF!</v>
      </c>
      <c r="K17" s="26" t="e">
        <f t="shared" si="1"/>
        <v>#REF!</v>
      </c>
      <c r="L17" s="26" t="e">
        <f t="shared" si="2"/>
        <v>#REF!</v>
      </c>
      <c r="M17" s="26"/>
      <c r="N17" s="26" t="e">
        <f>D17+G17</f>
        <v>#REF!</v>
      </c>
    </row>
    <row r="18" spans="2:15" x14ac:dyDescent="0.25">
      <c r="B18" s="17"/>
      <c r="C18" s="17"/>
      <c r="D18" s="42"/>
      <c r="E18" s="41"/>
      <c r="F18" s="41"/>
      <c r="G18" s="42"/>
      <c r="H18" s="41"/>
      <c r="I18" s="42"/>
      <c r="J18" s="42"/>
      <c r="K18" s="41"/>
      <c r="L18" s="41"/>
      <c r="M18" s="41"/>
      <c r="N18" s="41"/>
    </row>
    <row r="19" spans="2:15" x14ac:dyDescent="0.25">
      <c r="B19" s="17"/>
      <c r="C19" s="17"/>
      <c r="D19" s="42"/>
      <c r="E19" s="41"/>
      <c r="F19" s="41"/>
      <c r="G19" s="42"/>
      <c r="H19" s="41"/>
      <c r="I19" s="42"/>
      <c r="J19" s="42"/>
      <c r="K19" s="41"/>
      <c r="L19" s="41"/>
      <c r="M19" s="41"/>
      <c r="N19" s="41"/>
    </row>
    <row r="20" spans="2:15" x14ac:dyDescent="0.25">
      <c r="B20" s="17"/>
      <c r="C20" s="17"/>
      <c r="D20" s="42"/>
      <c r="E20" s="41"/>
      <c r="F20" s="41"/>
      <c r="G20" s="42"/>
      <c r="H20" s="41"/>
      <c r="I20" s="42"/>
      <c r="J20" s="42"/>
      <c r="K20" s="41"/>
      <c r="L20" s="41"/>
      <c r="M20" s="41"/>
      <c r="N20" s="41"/>
    </row>
    <row r="21" spans="2:15" x14ac:dyDescent="0.25">
      <c r="B21" s="17"/>
      <c r="C21" s="17"/>
      <c r="D21" s="42"/>
      <c r="E21" s="41"/>
      <c r="F21" s="41"/>
      <c r="G21" s="42"/>
      <c r="H21" s="41"/>
      <c r="I21" s="42"/>
      <c r="J21" s="42"/>
      <c r="K21" s="41"/>
      <c r="L21" s="41"/>
      <c r="M21" s="41"/>
      <c r="N21" s="41"/>
    </row>
    <row r="22" spans="2:15" x14ac:dyDescent="0.25">
      <c r="B22" s="17"/>
      <c r="C22" s="17"/>
      <c r="D22" s="42"/>
      <c r="E22" s="41"/>
      <c r="F22" s="41"/>
      <c r="G22" s="42"/>
      <c r="H22" s="41"/>
      <c r="I22" s="42"/>
      <c r="J22" s="42"/>
      <c r="K22" s="41"/>
      <c r="L22" s="41"/>
      <c r="M22" s="41"/>
      <c r="N22" s="41"/>
    </row>
    <row r="23" spans="2:15" x14ac:dyDescent="0.25">
      <c r="O23" s="11"/>
    </row>
    <row r="24" spans="2:15" x14ac:dyDescent="0.25">
      <c r="O24" s="11"/>
    </row>
    <row r="25" spans="2:15" x14ac:dyDescent="0.25">
      <c r="O25" s="11"/>
    </row>
    <row r="26" spans="2:15" x14ac:dyDescent="0.25">
      <c r="B26" s="17"/>
      <c r="C26" s="17"/>
      <c r="D26" s="40"/>
      <c r="E26" s="41"/>
      <c r="F26" s="41"/>
      <c r="G26" s="42"/>
      <c r="H26" s="42"/>
      <c r="I26" s="42"/>
      <c r="J26" s="42"/>
      <c r="K26" s="42"/>
      <c r="L26" s="41"/>
      <c r="M26" s="41"/>
      <c r="O26" s="11"/>
    </row>
    <row r="27" spans="2:15" x14ac:dyDescent="0.25">
      <c r="B27" s="17"/>
      <c r="C27" s="17"/>
      <c r="D27" s="40"/>
      <c r="E27" s="41"/>
      <c r="F27" s="41"/>
      <c r="G27" s="42"/>
      <c r="H27" s="42"/>
      <c r="I27" s="42"/>
      <c r="J27" s="42"/>
      <c r="K27" s="42"/>
      <c r="L27" s="41"/>
      <c r="M27" s="41"/>
      <c r="N27" t="e">
        <f>(((Data!D3*(Data!D4+(2*(Border_Thickness/12)))*Data!D5))-('Infiltration Data'!E15)*(stone_porosity/100))+'Infiltration Data'!E15</f>
        <v>#VALUE!</v>
      </c>
      <c r="O27" s="11"/>
    </row>
    <row r="28" spans="2:15" x14ac:dyDescent="0.25">
      <c r="B28" s="17"/>
      <c r="C28" s="17"/>
      <c r="D28" s="40"/>
      <c r="E28" s="41"/>
      <c r="F28" s="41"/>
      <c r="G28" s="42"/>
      <c r="H28" s="42"/>
      <c r="I28" s="42"/>
      <c r="J28" s="42"/>
      <c r="K28" s="42"/>
      <c r="L28" s="41"/>
      <c r="M28" s="41"/>
      <c r="O28" s="11"/>
    </row>
    <row r="29" spans="2:15" x14ac:dyDescent="0.25">
      <c r="B29" s="17"/>
      <c r="C29" s="17"/>
      <c r="D29" s="40"/>
      <c r="E29" s="41"/>
      <c r="F29" s="41"/>
      <c r="G29" s="42"/>
      <c r="H29" s="42"/>
      <c r="I29" s="42"/>
      <c r="J29" s="42"/>
      <c r="K29" s="42"/>
      <c r="L29" s="41"/>
      <c r="M29" s="41"/>
      <c r="O29" s="11"/>
    </row>
    <row r="30" spans="2:15" x14ac:dyDescent="0.25">
      <c r="B30" s="17"/>
      <c r="C30" s="17"/>
      <c r="D30" s="40"/>
      <c r="E30" s="41"/>
      <c r="F30" s="41"/>
      <c r="G30" s="42"/>
      <c r="H30" s="42"/>
      <c r="I30" s="42"/>
      <c r="J30" s="42"/>
      <c r="K30" s="42"/>
      <c r="L30" s="41"/>
      <c r="M30" s="41"/>
      <c r="O30" s="11"/>
    </row>
    <row r="31" spans="2:15" ht="15.75" thickBot="1" x14ac:dyDescent="0.3">
      <c r="L31" s="11"/>
      <c r="M31" s="11"/>
      <c r="O31" s="11"/>
    </row>
    <row r="32" spans="2:15" ht="27" thickBot="1" x14ac:dyDescent="0.3">
      <c r="B32" s="166" t="s">
        <v>24</v>
      </c>
      <c r="C32" s="167"/>
      <c r="D32" s="167"/>
      <c r="E32" s="167"/>
      <c r="F32" s="167"/>
      <c r="G32" s="167"/>
      <c r="H32" s="167"/>
      <c r="I32" s="167"/>
      <c r="J32" s="167"/>
      <c r="K32" s="167"/>
      <c r="L32" s="168"/>
      <c r="M32" s="60"/>
      <c r="O32" s="11"/>
    </row>
    <row r="33" spans="2:15" ht="36" x14ac:dyDescent="0.25">
      <c r="B33" s="8"/>
      <c r="C33" s="8"/>
      <c r="D33" s="34" t="s">
        <v>84</v>
      </c>
      <c r="E33" s="35" t="s">
        <v>1</v>
      </c>
      <c r="F33" s="36" t="s">
        <v>3</v>
      </c>
      <c r="G33" s="35" t="s">
        <v>2</v>
      </c>
      <c r="H33" s="35"/>
      <c r="I33" s="35"/>
      <c r="J33" s="35"/>
      <c r="K33" s="35"/>
      <c r="L33" s="35" t="s">
        <v>20</v>
      </c>
      <c r="M33" s="10"/>
    </row>
    <row r="34" spans="2:15" x14ac:dyDescent="0.25">
      <c r="B34" s="37"/>
      <c r="C34" s="37"/>
      <c r="D34" s="18" t="s">
        <v>26</v>
      </c>
      <c r="E34" s="18" t="s">
        <v>26</v>
      </c>
      <c r="F34" s="18" t="s">
        <v>26</v>
      </c>
      <c r="G34" s="18" t="s">
        <v>26</v>
      </c>
      <c r="H34" s="18"/>
      <c r="I34" s="18"/>
      <c r="J34" s="18"/>
      <c r="K34" s="18"/>
      <c r="L34" s="18" t="s">
        <v>26</v>
      </c>
      <c r="M34" s="40"/>
    </row>
    <row r="35" spans="2:15" x14ac:dyDescent="0.25">
      <c r="B35" s="38"/>
      <c r="C35" s="38"/>
      <c r="D35" s="33"/>
      <c r="E35" s="26"/>
      <c r="F35" s="26"/>
      <c r="G35" s="26"/>
      <c r="H35" s="26"/>
      <c r="I35" s="26"/>
      <c r="J35" s="26"/>
      <c r="K35" s="26"/>
      <c r="L35" s="26"/>
      <c r="M35" s="41"/>
    </row>
    <row r="36" spans="2:15" x14ac:dyDescent="0.25">
      <c r="B36" s="38"/>
      <c r="C36" s="38"/>
      <c r="D36" s="33"/>
      <c r="E36" s="26"/>
      <c r="F36" s="26"/>
      <c r="G36" s="26"/>
      <c r="H36" s="26"/>
      <c r="I36" s="26"/>
      <c r="J36" s="26"/>
      <c r="K36" s="26"/>
      <c r="L36" s="26"/>
      <c r="M36" s="41"/>
      <c r="N36" s="6"/>
      <c r="O36" s="6"/>
    </row>
    <row r="37" spans="2:15" x14ac:dyDescent="0.25">
      <c r="B37" s="38" t="s">
        <v>10</v>
      </c>
      <c r="C37" s="38"/>
      <c r="D37" s="33">
        <f>Data!$B$3*Data!$B$4*('Residential Drainage Calculator'!$C$28*0.85)</f>
        <v>5.4399999999999995</v>
      </c>
      <c r="E37" s="26">
        <f>E11*0.02831685</f>
        <v>0.39643590000000001</v>
      </c>
      <c r="F37" s="26" t="e">
        <f>(((Data!A18*(Data!B19+(2*(Border_Thickness/100))*Data!B20)-'Infiltration Data'!E37)*(stone_porosity/100)))+'Infiltration Data'!E37</f>
        <v>#VALUE!</v>
      </c>
      <c r="G37" s="26" t="e">
        <f>(((Data!#REF!*(Data!#REF!+(2*(Border_Thickness/100))*(Data!#REF!+'Residential Drainage Calculator'!F74/100+'Residential Drainage Calculator'!G70/100))-'Infiltration Data'!E37)*(stone_porosity/100)))+'Infiltration Data'!E37</f>
        <v>#REF!</v>
      </c>
      <c r="H37" s="26"/>
      <c r="I37" s="26"/>
      <c r="J37" s="26"/>
      <c r="K37" s="26"/>
      <c r="L37" s="26" t="e">
        <f>D37+G37</f>
        <v>#REF!</v>
      </c>
      <c r="M37" s="41"/>
    </row>
    <row r="38" spans="2:15" x14ac:dyDescent="0.25">
      <c r="B38" s="38" t="s">
        <v>11</v>
      </c>
      <c r="C38" s="38"/>
      <c r="D38" s="33" t="e">
        <f>Data!#REF!*Data!#REF!*('Residential Drainage Calculator'!$C$28*0.85)</f>
        <v>#REF!</v>
      </c>
      <c r="E38" s="26" t="e">
        <f>E12*0.02831685</f>
        <v>#REF!</v>
      </c>
      <c r="F38" s="26" t="e">
        <f>(((Data!#REF!*(Data!#REF!+(2*(Border_Thickness/100))*Data!#REF!)-'Infiltration Data'!E38)*(stone_porosity/100)))+'Infiltration Data'!E38</f>
        <v>#REF!</v>
      </c>
      <c r="G38" s="26" t="e">
        <f>(((Data!C18*(Data!C19+(2*(Border_Thickness/100))*(Data!C20+'Residential Drainage Calculator'!F74/100+'Residential Drainage Calculator'!G70/100))-'Infiltration Data'!E38)*(stone_porosity/100)))+'Infiltration Data'!E38</f>
        <v>#VALUE!</v>
      </c>
      <c r="H38" s="26"/>
      <c r="I38" s="26"/>
      <c r="J38" s="26"/>
      <c r="K38" s="26"/>
      <c r="L38" s="26" t="e">
        <f>D38+G38</f>
        <v>#REF!</v>
      </c>
      <c r="M38" s="41"/>
    </row>
    <row r="39" spans="2:15" x14ac:dyDescent="0.25">
      <c r="B39" s="38" t="s">
        <v>12</v>
      </c>
      <c r="C39" s="38"/>
      <c r="D39" s="33">
        <f>Data!$C$3*Data!$C$4*('Residential Drainage Calculator'!$C$28*0.85)</f>
        <v>4.9843999999999999</v>
      </c>
      <c r="E39" s="26">
        <f>E13*0.02831685</f>
        <v>0.61759049850000003</v>
      </c>
      <c r="F39" s="26" t="e">
        <f>(((Data!C18*(Data!C19+(2*(Border_Thickness/100))*Data!C20)-'Infiltration Data'!E39)*(stone_porosity/100)))+'Infiltration Data'!E39</f>
        <v>#VALUE!</v>
      </c>
      <c r="G39" s="26" t="e">
        <f>(((Data!#REF!*(Data!#REF!+(2*(Border_Thickness/100))*(Data!#REF!+'Residential Drainage Calculator'!F74/100+'Residential Drainage Calculator'!G70/100))-'Infiltration Data'!E39)*(stone_porosity/100)))+'Infiltration Data'!E39</f>
        <v>#REF!</v>
      </c>
      <c r="H39" s="26"/>
      <c r="I39" s="26"/>
      <c r="J39" s="26"/>
      <c r="K39" s="26"/>
      <c r="L39" s="26" t="e">
        <f>D39+G39</f>
        <v>#REF!</v>
      </c>
      <c r="M39" s="41"/>
    </row>
    <row r="40" spans="2:15" x14ac:dyDescent="0.25">
      <c r="B40" s="39"/>
      <c r="C40" s="39"/>
      <c r="D40" s="33"/>
      <c r="E40" s="26"/>
      <c r="F40" s="26"/>
      <c r="G40" s="26"/>
      <c r="H40" s="26"/>
      <c r="I40" s="26"/>
      <c r="J40" s="26"/>
      <c r="K40" s="26"/>
      <c r="L40" s="26"/>
      <c r="M40" s="41"/>
    </row>
    <row r="41" spans="2:15" x14ac:dyDescent="0.25">
      <c r="B41" s="38" t="s">
        <v>13</v>
      </c>
      <c r="C41" s="38"/>
      <c r="D41" s="33" t="e">
        <f>Data!#REF!*Data!#REF!*('Residential Drainage Calculator'!$C$28*0.85)</f>
        <v>#REF!</v>
      </c>
      <c r="E41" s="26" t="e">
        <f>E14*0.02831685</f>
        <v>#REF!</v>
      </c>
      <c r="F41" s="26" t="e">
        <f>(((Data!#REF!*(Data!#REF!+(2*(Border_Thickness/100))*Data!#REF!)-'Infiltration Data'!E41)*(stone_porosity/100)))+'Infiltration Data'!E41</f>
        <v>#REF!</v>
      </c>
      <c r="G41" s="26" t="e">
        <f>(((Data!D18*(Data!D19+(2*(Border_Thickness/100))*(Data!D20+'Residential Drainage Calculator'!F74/100+'Residential Drainage Calculator'!G70/100))-'Infiltration Data'!E41)*(stone_porosity/100)))+'Infiltration Data'!E41</f>
        <v>#VALUE!</v>
      </c>
      <c r="H41" s="26"/>
      <c r="I41" s="26"/>
      <c r="J41" s="26"/>
      <c r="K41" s="26"/>
      <c r="L41" s="26" t="e">
        <f>D41+G41</f>
        <v>#REF!</v>
      </c>
      <c r="M41" s="41"/>
    </row>
    <row r="42" spans="2:15" x14ac:dyDescent="0.25">
      <c r="B42" s="38"/>
      <c r="C42" s="38"/>
      <c r="D42" s="33"/>
      <c r="E42" s="26"/>
      <c r="F42" s="26"/>
      <c r="G42" s="26"/>
      <c r="H42" s="26"/>
      <c r="I42" s="26"/>
      <c r="J42" s="26"/>
      <c r="K42" s="26"/>
      <c r="L42" s="26"/>
      <c r="M42" s="41"/>
    </row>
    <row r="43" spans="2:15" x14ac:dyDescent="0.25">
      <c r="B43" s="38" t="s">
        <v>14</v>
      </c>
      <c r="C43" s="38"/>
      <c r="D43" s="33">
        <f>Data!$D$3*Data!$D$4*('Residential Drainage Calculator'!$C$28*0.85)</f>
        <v>8.3488888888888866</v>
      </c>
      <c r="E43" s="26">
        <f>E15*0.02831685</f>
        <v>1.4784227385000002</v>
      </c>
      <c r="F43" s="26" t="e">
        <f>(((Data!D18*(Data!D19+(2*(Border_Thickness/100))*Data!D20)-'Infiltration Data'!E43)*(stone_porosity/100)))+'Infiltration Data'!E43</f>
        <v>#VALUE!</v>
      </c>
      <c r="G43" s="33" t="e">
        <f>(((Data!#REF!*(Data!#REF!+(2*(Border_Thickness/100))*(Data!#REF!+'Residential Drainage Calculator'!F74/100+'Residential Drainage Calculator'!G70/100))-'Infiltration Data'!E43)*(stone_porosity/100)))+'Infiltration Data'!E43</f>
        <v>#REF!</v>
      </c>
      <c r="H43" s="33"/>
      <c r="I43" s="33"/>
      <c r="J43" s="33"/>
      <c r="K43" s="33"/>
      <c r="L43" s="26" t="e">
        <f>D43+G43</f>
        <v>#REF!</v>
      </c>
      <c r="M43" s="41"/>
    </row>
    <row r="44" spans="2:15" x14ac:dyDescent="0.25">
      <c r="B44" s="38" t="s">
        <v>15</v>
      </c>
      <c r="C44" s="38"/>
      <c r="D44" s="33" t="e">
        <f>Data!#REF!*Data!#REF!*('Residential Drainage Calculator'!$C$28*0.85)</f>
        <v>#REF!</v>
      </c>
      <c r="E44" s="26" t="e">
        <f>E17*0.02831685</f>
        <v>#REF!</v>
      </c>
      <c r="F44" s="26" t="e">
        <f>(((Data!#REF!*(Data!#REF!+(2*(Border_Thickness/100))*Data!#REF!)-'Infiltration Data'!E44)*(stone_porosity/100)))+'Infiltration Data'!E44</f>
        <v>#REF!</v>
      </c>
      <c r="G44" s="33" t="e">
        <f>(((Data!#REF!*(Data!#REF!+(2*(Border_Thickness/100))*(Data!#REF!+'Residential Drainage Calculator'!F74/100+'Residential Drainage Calculator'!G70/100))-'Infiltration Data'!E44)*(stone_porosity/100)))+'Infiltration Data'!E44</f>
        <v>#REF!</v>
      </c>
      <c r="H44" s="33"/>
      <c r="I44" s="33"/>
      <c r="J44" s="33"/>
      <c r="K44" s="33"/>
      <c r="L44" s="26" t="e">
        <f>D44+G44</f>
        <v>#REF!</v>
      </c>
      <c r="M44" s="41"/>
    </row>
    <row r="45" spans="2:15" x14ac:dyDescent="0.25">
      <c r="B45" s="17"/>
      <c r="C45" s="17"/>
      <c r="D45" s="40"/>
      <c r="E45" s="41"/>
      <c r="F45" s="41"/>
      <c r="G45" s="42"/>
      <c r="H45" s="42"/>
      <c r="I45" s="42"/>
      <c r="J45" s="42"/>
      <c r="K45" s="42"/>
      <c r="L45" s="41"/>
      <c r="M45" s="41"/>
    </row>
    <row r="46" spans="2:15" x14ac:dyDescent="0.25">
      <c r="B46" s="17"/>
      <c r="C46" s="17"/>
      <c r="D46" s="40"/>
      <c r="E46" s="41"/>
      <c r="F46" s="41"/>
      <c r="G46" s="42"/>
      <c r="H46" s="42"/>
      <c r="I46" s="42"/>
      <c r="J46" s="42"/>
      <c r="K46" s="42"/>
      <c r="L46" s="41"/>
      <c r="M46" s="41"/>
    </row>
    <row r="49" spans="2:11" x14ac:dyDescent="0.25">
      <c r="B49" s="165" t="s">
        <v>9</v>
      </c>
      <c r="C49" s="165"/>
      <c r="D49" s="165"/>
      <c r="E49" s="165"/>
      <c r="F49" s="165"/>
      <c r="G49" s="165"/>
      <c r="H49" s="49"/>
      <c r="I49" s="49"/>
      <c r="J49" s="49"/>
      <c r="K49" s="49"/>
    </row>
    <row r="50" spans="2:11" x14ac:dyDescent="0.25">
      <c r="B50" s="165"/>
      <c r="C50" s="165"/>
      <c r="D50" s="165"/>
      <c r="E50" s="165"/>
      <c r="F50" s="165"/>
      <c r="G50" s="165"/>
      <c r="H50" s="49"/>
      <c r="I50" s="49"/>
      <c r="J50" s="49"/>
      <c r="K50" s="49"/>
    </row>
    <row r="51" spans="2:11" x14ac:dyDescent="0.25">
      <c r="B51" s="165"/>
      <c r="C51" s="165"/>
      <c r="D51" s="165"/>
      <c r="E51" s="165"/>
      <c r="F51" s="165"/>
      <c r="G51" s="165"/>
      <c r="H51" s="49"/>
      <c r="I51" s="49"/>
      <c r="J51" s="49"/>
      <c r="K51" s="49"/>
    </row>
    <row r="86" spans="2:6" x14ac:dyDescent="0.25">
      <c r="B86" s="6" t="s">
        <v>40</v>
      </c>
      <c r="C86" s="6"/>
      <c r="D86" s="6" t="s">
        <v>45</v>
      </c>
      <c r="E86" s="6" t="s">
        <v>49</v>
      </c>
      <c r="F86" s="50">
        <f>'Residential Drainage Calculator'!C25/12</f>
        <v>0.33333333333333331</v>
      </c>
    </row>
    <row r="87" spans="2:6" x14ac:dyDescent="0.25">
      <c r="B87" s="6" t="s">
        <v>41</v>
      </c>
      <c r="C87" s="6"/>
      <c r="D87" s="6" t="s">
        <v>46</v>
      </c>
      <c r="E87" s="6" t="s">
        <v>62</v>
      </c>
      <c r="F87" s="48">
        <f>'Residential Drainage Calculator'!C23/12</f>
        <v>0.16666666666666666</v>
      </c>
    </row>
    <row r="88" spans="2:6" x14ac:dyDescent="0.25">
      <c r="B88" s="6" t="s">
        <v>43</v>
      </c>
      <c r="C88" s="6"/>
      <c r="D88" s="6" t="s">
        <v>47</v>
      </c>
      <c r="E88" s="6" t="s">
        <v>72</v>
      </c>
      <c r="F88" s="15">
        <f>'Residential Drainage Calculator'!C26/12</f>
        <v>2.4166666666666665</v>
      </c>
    </row>
    <row r="89" spans="2:6" x14ac:dyDescent="0.25">
      <c r="B89" s="6" t="s">
        <v>42</v>
      </c>
      <c r="C89" s="6"/>
      <c r="D89" s="6" t="s">
        <v>48</v>
      </c>
      <c r="E89" s="6" t="s">
        <v>48</v>
      </c>
      <c r="F89" s="15">
        <f>'Residential Drainage Calculator'!C24</f>
        <v>15</v>
      </c>
    </row>
    <row r="90" spans="2:6" x14ac:dyDescent="0.25">
      <c r="B90" s="6" t="s">
        <v>44</v>
      </c>
      <c r="C90" s="6"/>
      <c r="D90" s="6" t="s">
        <v>50</v>
      </c>
      <c r="E90" s="6" t="s">
        <v>51</v>
      </c>
      <c r="F90" s="15">
        <v>3.1415999999999999</v>
      </c>
    </row>
    <row r="91" spans="2:6" x14ac:dyDescent="0.25">
      <c r="B91" s="6" t="s">
        <v>58</v>
      </c>
      <c r="C91" s="6"/>
      <c r="D91" s="6" t="s">
        <v>59</v>
      </c>
      <c r="E91" s="6" t="s">
        <v>58</v>
      </c>
      <c r="F91" s="15">
        <f>'Residential Drainage Calculator'!C27</f>
        <v>2</v>
      </c>
    </row>
    <row r="92" spans="2:6" x14ac:dyDescent="0.25">
      <c r="D92" s="6"/>
      <c r="E92" s="6"/>
      <c r="F92" s="6"/>
    </row>
    <row r="93" spans="2:6" x14ac:dyDescent="0.25">
      <c r="B93" s="6" t="s">
        <v>60</v>
      </c>
      <c r="C93" s="52">
        <f>(C94/F91)</f>
        <v>0.26666666666666666</v>
      </c>
      <c r="D93" s="6"/>
      <c r="E93" s="6"/>
      <c r="F93" s="6"/>
    </row>
    <row r="94" spans="2:6" x14ac:dyDescent="0.25">
      <c r="B94" s="6" t="s">
        <v>57</v>
      </c>
      <c r="C94" s="53">
        <f>(C95*1440)</f>
        <v>0.53333333333333333</v>
      </c>
      <c r="D94" s="6"/>
      <c r="E94" s="6"/>
      <c r="F94" s="6"/>
    </row>
    <row r="95" spans="2:6" x14ac:dyDescent="0.25">
      <c r="B95" s="6" t="s">
        <v>56</v>
      </c>
      <c r="C95" s="47">
        <f>(C96/C97/F89)</f>
        <v>3.7037037037037035E-4</v>
      </c>
      <c r="D95" s="6"/>
      <c r="E95" s="6"/>
      <c r="F95" s="6"/>
    </row>
    <row r="96" spans="2:6" x14ac:dyDescent="0.25">
      <c r="B96" s="6" t="s">
        <v>55</v>
      </c>
      <c r="C96" s="6">
        <f>(C98*F87)</f>
        <v>1.4544444444444443E-2</v>
      </c>
      <c r="D96" s="6"/>
      <c r="E96" s="6"/>
      <c r="F96" s="6"/>
    </row>
    <row r="97" spans="2:6" x14ac:dyDescent="0.25">
      <c r="B97" s="6" t="s">
        <v>54</v>
      </c>
      <c r="C97" s="47">
        <f>(C98+C99)</f>
        <v>2.6179999999999999</v>
      </c>
      <c r="D97" s="6"/>
      <c r="E97" s="6"/>
      <c r="F97" s="6"/>
    </row>
    <row r="98" spans="2:6" x14ac:dyDescent="0.25">
      <c r="B98" s="6" t="s">
        <v>53</v>
      </c>
      <c r="C98" s="47">
        <f>((F90*F86*F86)/4)</f>
        <v>8.7266666666666659E-2</v>
      </c>
    </row>
    <row r="99" spans="2:6" x14ac:dyDescent="0.25">
      <c r="B99" s="6" t="s">
        <v>52</v>
      </c>
      <c r="C99" s="47">
        <f>(F90*F86*F88)</f>
        <v>2.5307333333333331</v>
      </c>
    </row>
    <row r="101" spans="2:6" x14ac:dyDescent="0.25">
      <c r="B101" s="6" t="s">
        <v>77</v>
      </c>
      <c r="C101" s="6"/>
      <c r="D101" s="6"/>
      <c r="E101" s="6"/>
    </row>
    <row r="102" spans="2:6" x14ac:dyDescent="0.25">
      <c r="B102" s="6"/>
      <c r="C102" s="6"/>
      <c r="D102" s="6"/>
      <c r="E102" s="6"/>
    </row>
    <row r="103" spans="2:6" x14ac:dyDescent="0.25">
      <c r="B103" s="6" t="s">
        <v>78</v>
      </c>
      <c r="C103" s="6"/>
      <c r="D103" s="6" t="s">
        <v>67</v>
      </c>
      <c r="E103" s="6"/>
    </row>
    <row r="104" spans="2:6" x14ac:dyDescent="0.25">
      <c r="B104" s="6" t="s">
        <v>68</v>
      </c>
      <c r="C104" s="6"/>
      <c r="D104" s="6" t="s">
        <v>69</v>
      </c>
      <c r="E104" s="6"/>
      <c r="F104" s="48">
        <f>F87*12</f>
        <v>2</v>
      </c>
    </row>
    <row r="105" spans="2:6" x14ac:dyDescent="0.25">
      <c r="B105" s="6" t="s">
        <v>70</v>
      </c>
      <c r="C105" s="6"/>
      <c r="D105" s="6" t="s">
        <v>71</v>
      </c>
      <c r="E105" s="6"/>
      <c r="F105" s="15">
        <f>'Residential Drainage Calculator'!C25/2</f>
        <v>2</v>
      </c>
    </row>
    <row r="106" spans="2:6" x14ac:dyDescent="0.25">
      <c r="B106" s="6" t="s">
        <v>74</v>
      </c>
      <c r="C106" s="6"/>
      <c r="D106" s="6" t="s">
        <v>75</v>
      </c>
      <c r="E106" s="6"/>
      <c r="F106" s="15">
        <f>'Residential Drainage Calculator'!C24</f>
        <v>15</v>
      </c>
    </row>
    <row r="107" spans="2:6" x14ac:dyDescent="0.25">
      <c r="B107" s="6" t="s">
        <v>79</v>
      </c>
      <c r="C107" s="6"/>
      <c r="D107" s="6" t="s">
        <v>76</v>
      </c>
      <c r="E107" s="6"/>
      <c r="F107" s="15">
        <f>'Residential Drainage Calculator'!C26</f>
        <v>29</v>
      </c>
    </row>
    <row r="109" spans="2:6" ht="18" x14ac:dyDescent="0.35">
      <c r="B109" t="s">
        <v>81</v>
      </c>
      <c r="C109" s="51">
        <f>(F104*60*F105)/((F106)*((F105)+2*(F107)))</f>
        <v>0.26666666666666666</v>
      </c>
    </row>
  </sheetData>
  <mergeCells count="7">
    <mergeCell ref="E2:F2"/>
    <mergeCell ref="E3:F3"/>
    <mergeCell ref="B49:G51"/>
    <mergeCell ref="B32:L32"/>
    <mergeCell ref="B7:L8"/>
    <mergeCell ref="E4:F4"/>
    <mergeCell ref="E5:F5"/>
  </mergeCells>
  <conditionalFormatting sqref="F86:F91">
    <cfRule type="expression" dxfId="1" priority="2">
      <formula>($S$10=TRUE)</formula>
    </cfRule>
  </conditionalFormatting>
  <conditionalFormatting sqref="F104:F107">
    <cfRule type="expression" dxfId="0" priority="1">
      <formula>($S$10=TRUE)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S30"/>
  <sheetViews>
    <sheetView workbookViewId="0">
      <selection activeCell="C25" sqref="C25"/>
    </sheetView>
  </sheetViews>
  <sheetFormatPr defaultRowHeight="15" x14ac:dyDescent="0.25"/>
  <cols>
    <col min="1" max="1" width="18.42578125" customWidth="1"/>
    <col min="2" max="2" width="25.140625" customWidth="1"/>
    <col min="3" max="3" width="24.7109375" bestFit="1" customWidth="1"/>
    <col min="4" max="4" width="22.28515625" bestFit="1" customWidth="1"/>
    <col min="5" max="5" width="31.7109375" customWidth="1"/>
  </cols>
  <sheetData>
    <row r="1" spans="1:12" ht="66" customHeight="1" x14ac:dyDescent="0.25">
      <c r="B1" s="25" t="s">
        <v>10</v>
      </c>
      <c r="C1" s="25" t="s">
        <v>12</v>
      </c>
      <c r="D1" s="25" t="s">
        <v>14</v>
      </c>
    </row>
    <row r="2" spans="1:12" x14ac:dyDescent="0.25">
      <c r="A2" s="19"/>
      <c r="B2" s="79" t="s">
        <v>6</v>
      </c>
      <c r="C2" s="79" t="s">
        <v>6</v>
      </c>
      <c r="D2" s="79" t="s">
        <v>6</v>
      </c>
    </row>
    <row r="3" spans="1:12" x14ac:dyDescent="0.25">
      <c r="A3" s="21" t="s">
        <v>16</v>
      </c>
      <c r="B3" s="82">
        <v>8</v>
      </c>
      <c r="C3" s="83">
        <v>7.33</v>
      </c>
      <c r="D3" s="84">
        <v>8.5</v>
      </c>
    </row>
    <row r="4" spans="1:12" x14ac:dyDescent="0.25">
      <c r="A4" s="23" t="s">
        <v>17</v>
      </c>
      <c r="B4" s="24">
        <f>36/12</f>
        <v>3</v>
      </c>
      <c r="C4" s="81">
        <f>36/12</f>
        <v>3</v>
      </c>
      <c r="D4" s="85">
        <f>52/12</f>
        <v>4.333333333333333</v>
      </c>
    </row>
    <row r="5" spans="1:12" x14ac:dyDescent="0.25">
      <c r="A5" s="21" t="s">
        <v>18</v>
      </c>
      <c r="B5" s="22">
        <f>12.5/12</f>
        <v>1.0416666666666667</v>
      </c>
      <c r="C5" s="80">
        <f>20.5/12</f>
        <v>1.7083333333333333</v>
      </c>
      <c r="D5" s="86">
        <f>30.5/12</f>
        <v>2.5416666666666665</v>
      </c>
    </row>
    <row r="6" spans="1:12" x14ac:dyDescent="0.25">
      <c r="A6" s="23" t="s">
        <v>19</v>
      </c>
      <c r="B6" s="87">
        <v>14</v>
      </c>
      <c r="C6" s="78">
        <v>21.81</v>
      </c>
      <c r="D6" s="88">
        <v>52.21</v>
      </c>
    </row>
    <row r="7" spans="1:12" x14ac:dyDescent="0.25">
      <c r="A7" s="21" t="s">
        <v>111</v>
      </c>
      <c r="B7" s="89">
        <v>32</v>
      </c>
      <c r="C7" s="90">
        <v>40</v>
      </c>
      <c r="D7" s="91">
        <v>84</v>
      </c>
    </row>
    <row r="8" spans="1:12" x14ac:dyDescent="0.25">
      <c r="A8" s="21" t="s">
        <v>112</v>
      </c>
      <c r="B8" s="92">
        <v>30</v>
      </c>
      <c r="C8" s="92">
        <v>25</v>
      </c>
      <c r="D8" s="92">
        <v>37</v>
      </c>
    </row>
    <row r="9" spans="1:12" ht="9.75" customHeight="1" x14ac:dyDescent="0.25"/>
    <row r="10" spans="1:12" x14ac:dyDescent="0.25">
      <c r="A10" s="19"/>
      <c r="B10" s="20" t="s">
        <v>29</v>
      </c>
      <c r="C10" s="20" t="s">
        <v>29</v>
      </c>
      <c r="D10" s="20" t="s">
        <v>29</v>
      </c>
    </row>
    <row r="11" spans="1:12" x14ac:dyDescent="0.25">
      <c r="A11" s="21" t="s">
        <v>16</v>
      </c>
      <c r="B11" s="30">
        <f t="shared" ref="B11:D11" si="0">B3*0.3048</f>
        <v>2.4384000000000001</v>
      </c>
      <c r="C11" s="30">
        <f t="shared" si="0"/>
        <v>2.2341839999999999</v>
      </c>
      <c r="D11" s="30">
        <f t="shared" si="0"/>
        <v>2.5908000000000002</v>
      </c>
    </row>
    <row r="12" spans="1:12" x14ac:dyDescent="0.25">
      <c r="A12" s="23" t="s">
        <v>17</v>
      </c>
      <c r="B12" s="31">
        <f t="shared" ref="B12:D12" si="1">B4*0.3048</f>
        <v>0.9144000000000001</v>
      </c>
      <c r="C12" s="31">
        <f t="shared" si="1"/>
        <v>0.9144000000000001</v>
      </c>
      <c r="D12" s="31">
        <f t="shared" si="1"/>
        <v>1.3208</v>
      </c>
    </row>
    <row r="13" spans="1:12" x14ac:dyDescent="0.25">
      <c r="A13" s="21" t="s">
        <v>18</v>
      </c>
      <c r="B13" s="30">
        <f t="shared" ref="B13:D13" si="2">B5*0.3048</f>
        <v>0.31750000000000006</v>
      </c>
      <c r="C13" s="30">
        <f t="shared" si="2"/>
        <v>0.52070000000000005</v>
      </c>
      <c r="D13" s="30">
        <f t="shared" si="2"/>
        <v>0.77469999999999994</v>
      </c>
    </row>
    <row r="14" spans="1:12" x14ac:dyDescent="0.25">
      <c r="A14" s="23" t="s">
        <v>19</v>
      </c>
      <c r="B14" s="32">
        <f t="shared" ref="B14:D14" si="3">B6*0.028317</f>
        <v>0.39643799999999996</v>
      </c>
      <c r="C14" s="32">
        <f t="shared" si="3"/>
        <v>0.61759376999999993</v>
      </c>
      <c r="D14" s="32">
        <f t="shared" si="3"/>
        <v>1.47843057</v>
      </c>
    </row>
    <row r="16" spans="1:12" x14ac:dyDescent="0.25">
      <c r="L16" t="e">
        <f>(Stone_Base*Stone_Ablove*Data!#REF!)</f>
        <v>#NAME?</v>
      </c>
    </row>
    <row r="18" spans="1:19" ht="23.25" x14ac:dyDescent="0.35">
      <c r="A18" s="175" t="s">
        <v>101</v>
      </c>
      <c r="B18" s="176"/>
      <c r="C18" s="176"/>
      <c r="D18" s="176"/>
      <c r="E18" s="177"/>
      <c r="F18" s="101"/>
    </row>
    <row r="19" spans="1:19" ht="19.5" x14ac:dyDescent="0.25">
      <c r="A19" s="96"/>
      <c r="C19" s="102" t="s">
        <v>104</v>
      </c>
      <c r="D19" s="102" t="s">
        <v>105</v>
      </c>
      <c r="E19" s="94" t="s">
        <v>106</v>
      </c>
    </row>
    <row r="20" spans="1:19" ht="19.5" customHeight="1" x14ac:dyDescent="0.25">
      <c r="A20" s="178" t="s">
        <v>102</v>
      </c>
      <c r="B20" s="181" t="s">
        <v>103</v>
      </c>
      <c r="C20" s="183" t="s">
        <v>130</v>
      </c>
      <c r="D20" s="183" t="s">
        <v>131</v>
      </c>
      <c r="E20" s="173" t="s">
        <v>132</v>
      </c>
    </row>
    <row r="21" spans="1:19" ht="19.5" customHeight="1" x14ac:dyDescent="0.25">
      <c r="A21" s="179"/>
      <c r="B21" s="182"/>
      <c r="C21" s="184"/>
      <c r="D21" s="184"/>
      <c r="E21" s="174"/>
    </row>
    <row r="22" spans="1:19" ht="19.5" customHeight="1" x14ac:dyDescent="0.25">
      <c r="A22" s="180"/>
      <c r="B22" s="182"/>
      <c r="C22" s="184"/>
      <c r="D22" s="184"/>
      <c r="E22" s="174"/>
    </row>
    <row r="23" spans="1:19" ht="19.5" x14ac:dyDescent="0.25">
      <c r="A23" s="94" t="s">
        <v>107</v>
      </c>
      <c r="B23" s="96" t="s">
        <v>119</v>
      </c>
      <c r="C23" s="74">
        <v>12</v>
      </c>
      <c r="D23" s="74">
        <v>12</v>
      </c>
      <c r="E23" s="97">
        <v>12</v>
      </c>
    </row>
    <row r="24" spans="1:19" ht="19.5" x14ac:dyDescent="0.25">
      <c r="A24" s="94" t="s">
        <v>108</v>
      </c>
      <c r="B24" s="96" t="s">
        <v>118</v>
      </c>
      <c r="C24" s="74">
        <v>36</v>
      </c>
      <c r="D24" s="74">
        <v>36</v>
      </c>
      <c r="E24" s="97">
        <v>52</v>
      </c>
    </row>
    <row r="25" spans="1:19" ht="19.5" x14ac:dyDescent="0.25">
      <c r="A25" s="94" t="s">
        <v>109</v>
      </c>
      <c r="B25" s="96" t="s">
        <v>120</v>
      </c>
      <c r="C25" s="74">
        <v>6</v>
      </c>
      <c r="D25" s="74">
        <v>6</v>
      </c>
      <c r="E25" s="97">
        <v>6</v>
      </c>
    </row>
    <row r="26" spans="1:19" ht="19.5" x14ac:dyDescent="0.25">
      <c r="A26" s="94" t="s">
        <v>45</v>
      </c>
      <c r="B26" s="96" t="s">
        <v>117</v>
      </c>
      <c r="C26" s="74">
        <v>12</v>
      </c>
      <c r="D26" s="74">
        <v>20</v>
      </c>
      <c r="E26" s="97">
        <v>30</v>
      </c>
    </row>
    <row r="27" spans="1:19" ht="19.5" x14ac:dyDescent="0.25">
      <c r="A27" s="94" t="s">
        <v>110</v>
      </c>
      <c r="B27" s="96" t="s">
        <v>116</v>
      </c>
      <c r="C27" s="74">
        <v>24</v>
      </c>
      <c r="D27" s="74">
        <v>32</v>
      </c>
      <c r="E27" s="97">
        <v>42</v>
      </c>
    </row>
    <row r="28" spans="1:19" ht="19.5" x14ac:dyDescent="0.25">
      <c r="A28" s="95"/>
      <c r="B28" s="98" t="s">
        <v>115</v>
      </c>
      <c r="C28" s="99">
        <v>8</v>
      </c>
      <c r="D28" s="99">
        <v>7.33</v>
      </c>
      <c r="E28" s="100">
        <v>8.5</v>
      </c>
    </row>
    <row r="30" spans="1:19" ht="21" x14ac:dyDescent="0.25"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8"/>
    </row>
  </sheetData>
  <mergeCells count="6">
    <mergeCell ref="E20:E22"/>
    <mergeCell ref="A18:E18"/>
    <mergeCell ref="A20:A22"/>
    <mergeCell ref="B20:B22"/>
    <mergeCell ref="C20:C22"/>
    <mergeCell ref="D20:D2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I14"/>
  <sheetViews>
    <sheetView workbookViewId="0">
      <selection activeCell="B2" sqref="B2"/>
    </sheetView>
  </sheetViews>
  <sheetFormatPr defaultRowHeight="15" x14ac:dyDescent="0.25"/>
  <cols>
    <col min="1" max="1" width="18.7109375" customWidth="1"/>
    <col min="2" max="2" width="135.5703125" customWidth="1"/>
  </cols>
  <sheetData>
    <row r="1" spans="1:9" x14ac:dyDescent="0.25">
      <c r="A1" s="28" t="s">
        <v>22</v>
      </c>
      <c r="B1" s="28" t="s">
        <v>21</v>
      </c>
    </row>
    <row r="2" spans="1:9" ht="409.5" customHeight="1" x14ac:dyDescent="0.25">
      <c r="A2" s="29" t="s">
        <v>99</v>
      </c>
      <c r="B2" s="29"/>
    </row>
    <row r="3" spans="1:9" ht="125.1" customHeight="1" x14ac:dyDescent="0.25">
      <c r="A3" s="29"/>
      <c r="B3" s="29"/>
    </row>
    <row r="4" spans="1:9" ht="125.1" customHeight="1" x14ac:dyDescent="0.25">
      <c r="A4" s="29"/>
      <c r="B4" s="29"/>
    </row>
    <row r="14" spans="1:9" x14ac:dyDescent="0.25">
      <c r="I14" t="e">
        <f>IF(Stone_Type="No Stone",'Residential Drainage Calculator'!B2,IF(Stone_Type="Sides Only",'Residential Drainage Calculator'!B3:D3,'X Sections'!B4))</f>
        <v>#REF!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Residential Drainage Calculator</vt:lpstr>
      <vt:lpstr>Infiltration Data</vt:lpstr>
      <vt:lpstr>Data</vt:lpstr>
      <vt:lpstr>X Sections</vt:lpstr>
      <vt:lpstr>Border_Thickness</vt:lpstr>
      <vt:lpstr>inputSF</vt:lpstr>
      <vt:lpstr>'X Sections'!No_Stone</vt:lpstr>
      <vt:lpstr>'Residential Drainage Calculator'!Print_Area</vt:lpstr>
      <vt:lpstr>rainfall</vt:lpstr>
      <vt:lpstr>'X Sections'!Sides_Only</vt:lpstr>
      <vt:lpstr>Stone_Above</vt:lpstr>
      <vt:lpstr>Stone_Base</vt:lpstr>
      <vt:lpstr>stone_porosity</vt:lpstr>
      <vt:lpstr>storagereq</vt:lpstr>
      <vt:lpstr>Type_of_Fill</vt:lpstr>
      <vt:lpstr>Typical_Stone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Carolan</dc:creator>
  <cp:lastModifiedBy>Gina Carolan</cp:lastModifiedBy>
  <cp:lastPrinted>2024-08-20T14:40:19Z</cp:lastPrinted>
  <dcterms:created xsi:type="dcterms:W3CDTF">2012-09-25T16:16:33Z</dcterms:created>
  <dcterms:modified xsi:type="dcterms:W3CDTF">2024-08-20T15:53:58Z</dcterms:modified>
</cp:coreProperties>
</file>